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hilaPort\2019 InFRA\"/>
    </mc:Choice>
  </mc:AlternateContent>
  <bookViews>
    <workbookView xWindow="0" yWindow="0" windowWidth="28800" windowHeight="12210" firstSheet="8" activeTab="12"/>
  </bookViews>
  <sheets>
    <sheet name="InpC" sheetId="20" r:id="rId1"/>
    <sheet name="Costs" sheetId="1" r:id="rId2"/>
    <sheet name="Operating Benefits" sheetId="2" r:id="rId3"/>
    <sheet name="Vessel Env. Impacts" sheetId="4" r:id="rId4"/>
    <sheet name="Truck Diversion Impacts" sheetId="7" r:id="rId5"/>
    <sheet name="Truck Emissions" sheetId="8" r:id="rId6"/>
    <sheet name="Truck Crashes" sheetId="11" r:id="rId7"/>
    <sheet name="Truck Pavement" sheetId="12" r:id="rId8"/>
    <sheet name="Auto VMT Savings" sheetId="10" r:id="rId9"/>
    <sheet name="Auto safety" sheetId="14" r:id="rId10"/>
    <sheet name="Auto Emissions" sheetId="13" r:id="rId11"/>
    <sheet name="Discounting" sheetId="6" r:id="rId12"/>
    <sheet name="Summary Undisc" sheetId="15" r:id="rId13"/>
    <sheet name="Disc Summary" sheetId="3" r:id="rId14"/>
    <sheet name="VMT No Build" sheetId="17" r:id="rId15"/>
    <sheet name="VMT Build" sheetId="18" r:id="rId16"/>
    <sheet name="Berth Time" sheetId="19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0" l="1"/>
  <c r="G40" i="7"/>
  <c r="Q13" i="14" l="1"/>
  <c r="Q14" i="14"/>
  <c r="Q15" i="14"/>
  <c r="Q16" i="14"/>
  <c r="Q40" i="14" s="1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12" i="14"/>
  <c r="R40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12" i="14"/>
  <c r="N38" i="14"/>
  <c r="AC20" i="17" l="1"/>
  <c r="F10" i="19"/>
  <c r="G10" i="19"/>
  <c r="H10" i="19"/>
  <c r="I10" i="19"/>
  <c r="J10" i="19"/>
  <c r="E10" i="19"/>
  <c r="D5" i="17"/>
  <c r="R46" i="17" l="1"/>
  <c r="R45" i="17"/>
  <c r="R44" i="17"/>
  <c r="R43" i="17"/>
  <c r="E38" i="3" l="1"/>
  <c r="F38" i="3"/>
  <c r="G38" i="3"/>
  <c r="H38" i="3"/>
  <c r="K38" i="3"/>
  <c r="L38" i="3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/>
  <c r="A40" i="6"/>
  <c r="A41" i="6"/>
  <c r="A42" i="6"/>
  <c r="A43" i="6"/>
  <c r="A9" i="6"/>
  <c r="A10" i="6"/>
  <c r="A11" i="6"/>
  <c r="A12" i="6"/>
  <c r="A13" i="6"/>
  <c r="A14" i="6"/>
  <c r="A15" i="6"/>
  <c r="A8" i="6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11" i="8"/>
  <c r="U2" i="7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5" i="2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14" i="18"/>
  <c r="D15" i="20"/>
  <c r="D5" i="1" l="1"/>
  <c r="E5" i="1" s="1"/>
  <c r="D31" i="20" l="1"/>
  <c r="D29" i="20"/>
  <c r="D28" i="20"/>
  <c r="D27" i="20"/>
  <c r="D26" i="20"/>
  <c r="D25" i="20"/>
  <c r="D23" i="20"/>
  <c r="D22" i="20"/>
  <c r="D21" i="20"/>
  <c r="D20" i="20"/>
  <c r="D19" i="20"/>
  <c r="D18" i="20"/>
  <c r="D16" i="20"/>
  <c r="D12" i="20"/>
  <c r="D11" i="20"/>
  <c r="D10" i="20"/>
  <c r="D9" i="20"/>
  <c r="D6" i="20"/>
  <c r="B9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5" i="7"/>
  <c r="I46" i="17"/>
  <c r="I45" i="17"/>
  <c r="I44" i="17"/>
  <c r="I43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12" i="17"/>
  <c r="Y42" i="17"/>
  <c r="X42" i="17"/>
  <c r="Y41" i="17"/>
  <c r="X41" i="17"/>
  <c r="Y40" i="17"/>
  <c r="X40" i="17"/>
  <c r="Y39" i="17"/>
  <c r="X39" i="17"/>
  <c r="Y38" i="17"/>
  <c r="X38" i="17"/>
  <c r="Y37" i="17"/>
  <c r="X37" i="17"/>
  <c r="Y36" i="17"/>
  <c r="X36" i="17"/>
  <c r="Y35" i="17"/>
  <c r="X35" i="17"/>
  <c r="Y34" i="17"/>
  <c r="X34" i="17"/>
  <c r="Y33" i="17"/>
  <c r="X33" i="17"/>
  <c r="Y32" i="17"/>
  <c r="X32" i="17"/>
  <c r="Y31" i="17"/>
  <c r="X31" i="17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2" i="17"/>
  <c r="H13" i="17"/>
  <c r="I42" i="17"/>
  <c r="F42" i="17"/>
  <c r="I41" i="17"/>
  <c r="F41" i="17"/>
  <c r="I40" i="17"/>
  <c r="F40" i="17"/>
  <c r="I39" i="17"/>
  <c r="F39" i="17"/>
  <c r="I38" i="17"/>
  <c r="F38" i="17"/>
  <c r="I37" i="17"/>
  <c r="F37" i="17"/>
  <c r="I36" i="17"/>
  <c r="F36" i="17"/>
  <c r="I35" i="17"/>
  <c r="F35" i="17"/>
  <c r="I34" i="17"/>
  <c r="F34" i="17"/>
  <c r="I33" i="17"/>
  <c r="F33" i="17"/>
  <c r="I32" i="17"/>
  <c r="F32" i="17"/>
  <c r="I31" i="17"/>
  <c r="F31" i="17"/>
  <c r="I30" i="17"/>
  <c r="F30" i="17"/>
  <c r="I29" i="17"/>
  <c r="F29" i="17"/>
  <c r="I28" i="17"/>
  <c r="F28" i="17"/>
  <c r="I27" i="17"/>
  <c r="F27" i="17"/>
  <c r="I26" i="17"/>
  <c r="F26" i="17"/>
  <c r="I25" i="17"/>
  <c r="F25" i="17"/>
  <c r="I24" i="17"/>
  <c r="F24" i="17"/>
  <c r="I23" i="17"/>
  <c r="F23" i="17"/>
  <c r="I22" i="17"/>
  <c r="F22" i="17"/>
  <c r="I21" i="17"/>
  <c r="F21" i="17"/>
  <c r="I20" i="17"/>
  <c r="F20" i="17"/>
  <c r="I19" i="17"/>
  <c r="F19" i="17"/>
  <c r="I18" i="17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J41" i="17" s="1"/>
  <c r="J42" i="17" s="1"/>
  <c r="I17" i="17"/>
  <c r="J17" i="17" s="1"/>
  <c r="I16" i="17"/>
  <c r="J16" i="17" s="1"/>
  <c r="I15" i="17"/>
  <c r="J15" i="17" s="1"/>
  <c r="I14" i="17"/>
  <c r="J14" i="17" s="1"/>
  <c r="G13" i="17"/>
  <c r="I13" i="17" l="1"/>
  <c r="J13" i="17" s="1"/>
  <c r="AB10" i="18" l="1"/>
  <c r="AB11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9" i="18"/>
  <c r="Z40" i="18"/>
  <c r="Z41" i="18"/>
  <c r="Z42" i="18"/>
  <c r="Z43" i="18"/>
  <c r="N40" i="18"/>
  <c r="P40" i="18" s="1"/>
  <c r="O40" i="18"/>
  <c r="N41" i="18"/>
  <c r="P41" i="18" s="1"/>
  <c r="O41" i="18"/>
  <c r="N42" i="18"/>
  <c r="O42" i="18"/>
  <c r="P42" i="18" s="1"/>
  <c r="N43" i="18"/>
  <c r="O43" i="18"/>
  <c r="P43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P16" i="18" s="1"/>
  <c r="AA16" i="18" s="1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AA15" i="18"/>
  <c r="F40" i="18"/>
  <c r="G40" i="18" s="1"/>
  <c r="F41" i="18"/>
  <c r="G41" i="18" s="1"/>
  <c r="I41" i="18"/>
  <c r="F42" i="18"/>
  <c r="G42" i="18" s="1"/>
  <c r="F43" i="18"/>
  <c r="H43" i="18" s="1"/>
  <c r="J43" i="18" s="1"/>
  <c r="G43" i="18"/>
  <c r="K43" i="18" s="1"/>
  <c r="I43" i="18"/>
  <c r="Q43" i="18"/>
  <c r="R43" i="18" s="1"/>
  <c r="H42" i="18" l="1"/>
  <c r="K42" i="18" s="1"/>
  <c r="Q41" i="18"/>
  <c r="S41" i="18" s="1"/>
  <c r="H40" i="18"/>
  <c r="J40" i="18" s="1"/>
  <c r="J41" i="18"/>
  <c r="S43" i="18"/>
  <c r="H41" i="18"/>
  <c r="Q40" i="18"/>
  <c r="R40" i="18" s="1"/>
  <c r="Q42" i="18"/>
  <c r="R42" i="18" s="1"/>
  <c r="I40" i="18"/>
  <c r="M43" i="18"/>
  <c r="K41" i="18"/>
  <c r="L41" i="18"/>
  <c r="M41" i="18"/>
  <c r="L40" i="18"/>
  <c r="M40" i="18"/>
  <c r="K40" i="18"/>
  <c r="L43" i="18"/>
  <c r="I42" i="18"/>
  <c r="J42" i="18" s="1"/>
  <c r="M42" i="18" s="1"/>
  <c r="R41" i="18"/>
  <c r="S40" i="18"/>
  <c r="S42" i="18" l="1"/>
  <c r="T41" i="18"/>
  <c r="X41" i="18"/>
  <c r="T40" i="18"/>
  <c r="X40" i="18"/>
  <c r="T43" i="18"/>
  <c r="X43" i="18"/>
  <c r="L42" i="18"/>
  <c r="T42" i="18" l="1"/>
  <c r="X42" i="18"/>
  <c r="R15" i="18" l="1"/>
  <c r="R14" i="18"/>
  <c r="R13" i="18"/>
  <c r="R12" i="18"/>
  <c r="R11" i="18"/>
  <c r="E18" i="18"/>
  <c r="I15" i="18"/>
  <c r="J15" i="18" s="1"/>
  <c r="I14" i="18"/>
  <c r="J14" i="18" s="1"/>
  <c r="I13" i="18"/>
  <c r="J13" i="18" s="1"/>
  <c r="I12" i="18"/>
  <c r="J12" i="18" s="1"/>
  <c r="I11" i="18"/>
  <c r="J11" i="18" s="1"/>
  <c r="F4" i="18"/>
  <c r="D17" i="18" s="1"/>
  <c r="D18" i="18" s="1"/>
  <c r="D19" i="18" s="1"/>
  <c r="D20" i="18" s="1"/>
  <c r="D21" i="18" s="1"/>
  <c r="D22" i="18" s="1"/>
  <c r="D23" i="18" s="1"/>
  <c r="B20" i="18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C15" i="18"/>
  <c r="C16" i="18" s="1"/>
  <c r="C17" i="18" s="1"/>
  <c r="C18" i="18" s="1"/>
  <c r="C19" i="18" s="1"/>
  <c r="C20" i="18" s="1"/>
  <c r="C21" i="18" s="1"/>
  <c r="C22" i="18" s="1"/>
  <c r="C23" i="18" s="1"/>
  <c r="C11" i="18"/>
  <c r="C12" i="18" s="1"/>
  <c r="B11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R17" i="7" l="1"/>
  <c r="M3" i="15" l="1"/>
  <c r="M4" i="15"/>
  <c r="M5" i="15"/>
  <c r="M6" i="15"/>
  <c r="M7" i="15"/>
  <c r="U9" i="7" l="1"/>
  <c r="U5" i="7"/>
  <c r="J2" i="14" l="1"/>
  <c r="D4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" i="1"/>
  <c r="V38" i="7" l="1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U6" i="7" s="1"/>
  <c r="W6" i="7" s="1"/>
  <c r="V5" i="7"/>
  <c r="W5" i="7" s="1"/>
  <c r="U7" i="7" l="1"/>
  <c r="U8" i="7" l="1"/>
  <c r="W7" i="7"/>
  <c r="W8" i="7" l="1"/>
  <c r="J9" i="19"/>
  <c r="J11" i="19" s="1"/>
  <c r="F36" i="7"/>
  <c r="F39" i="7"/>
  <c r="L10" i="18"/>
  <c r="M10" i="18"/>
  <c r="K10" i="18"/>
  <c r="AA43" i="18" l="1"/>
  <c r="AA40" i="18"/>
  <c r="AA41" i="18"/>
  <c r="F37" i="7"/>
  <c r="F38" i="7"/>
  <c r="AA42" i="18"/>
  <c r="U10" i="7"/>
  <c r="W9" i="7"/>
  <c r="U11" i="7" l="1"/>
  <c r="W10" i="7"/>
  <c r="Y10" i="7" s="1"/>
  <c r="C13" i="17"/>
  <c r="C12" i="17"/>
  <c r="R9" i="18"/>
  <c r="C16" i="17" l="1"/>
  <c r="F16" i="17" s="1"/>
  <c r="C15" i="17"/>
  <c r="F15" i="17" s="1"/>
  <c r="C14" i="17"/>
  <c r="F14" i="17" s="1"/>
  <c r="U12" i="7"/>
  <c r="W11" i="7"/>
  <c r="Y11" i="7" s="1"/>
  <c r="C18" i="17"/>
  <c r="F18" i="17" s="1"/>
  <c r="C17" i="17"/>
  <c r="F17" i="17" s="1"/>
  <c r="U13" i="7" l="1"/>
  <c r="W12" i="7"/>
  <c r="Y12" i="7" s="1"/>
  <c r="U14" i="7" l="1"/>
  <c r="W13" i="7"/>
  <c r="Y13" i="7" s="1"/>
  <c r="P18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18" i="7" s="1"/>
  <c r="D35" i="20"/>
  <c r="B11" i="7" l="1"/>
  <c r="B13" i="7" s="1"/>
  <c r="C2" i="12"/>
  <c r="C3" i="12"/>
  <c r="P19" i="7"/>
  <c r="B5" i="7" s="1"/>
  <c r="U15" i="7"/>
  <c r="W14" i="7"/>
  <c r="Y14" i="7" s="1"/>
  <c r="D14" i="6"/>
  <c r="P9" i="15" s="1"/>
  <c r="D15" i="6"/>
  <c r="D16" i="6"/>
  <c r="P11" i="15" s="1"/>
  <c r="D17" i="6"/>
  <c r="P12" i="15" s="1"/>
  <c r="D18" i="6"/>
  <c r="P13" i="15" s="1"/>
  <c r="D19" i="6"/>
  <c r="P14" i="15" s="1"/>
  <c r="D20" i="6"/>
  <c r="P15" i="15" s="1"/>
  <c r="D21" i="6"/>
  <c r="P16" i="15" s="1"/>
  <c r="D22" i="6"/>
  <c r="P17" i="15" s="1"/>
  <c r="D23" i="6"/>
  <c r="P18" i="15" s="1"/>
  <c r="D24" i="6"/>
  <c r="P19" i="15" s="1"/>
  <c r="D25" i="6"/>
  <c r="P20" i="15" s="1"/>
  <c r="D26" i="6"/>
  <c r="P21" i="15" s="1"/>
  <c r="D27" i="6"/>
  <c r="P22" i="15" s="1"/>
  <c r="D28" i="6"/>
  <c r="P23" i="15" s="1"/>
  <c r="D29" i="6"/>
  <c r="P24" i="15" s="1"/>
  <c r="D30" i="6"/>
  <c r="P25" i="15" s="1"/>
  <c r="D31" i="6"/>
  <c r="P26" i="15" s="1"/>
  <c r="D32" i="6"/>
  <c r="P27" i="15" s="1"/>
  <c r="D33" i="6"/>
  <c r="P28" i="15" s="1"/>
  <c r="D34" i="6"/>
  <c r="P29" i="15" s="1"/>
  <c r="D35" i="6"/>
  <c r="P30" i="15" s="1"/>
  <c r="D36" i="6"/>
  <c r="P31" i="15" s="1"/>
  <c r="D37" i="6"/>
  <c r="P32" i="15" s="1"/>
  <c r="D38" i="6"/>
  <c r="P33" i="15" s="1"/>
  <c r="D39" i="6"/>
  <c r="P34" i="15" s="1"/>
  <c r="D40" i="6"/>
  <c r="P35" i="15" s="1"/>
  <c r="D41" i="6"/>
  <c r="P36" i="15" s="1"/>
  <c r="D42" i="6"/>
  <c r="P37" i="15" s="1"/>
  <c r="D43" i="6"/>
  <c r="D9" i="6"/>
  <c r="P4" i="15" s="1"/>
  <c r="D10" i="6"/>
  <c r="D11" i="6"/>
  <c r="P6" i="15" s="1"/>
  <c r="D12" i="6"/>
  <c r="D13" i="6"/>
  <c r="P8" i="15" s="1"/>
  <c r="D8" i="6"/>
  <c r="P3" i="13"/>
  <c r="O3" i="13"/>
  <c r="N3" i="13"/>
  <c r="M3" i="13"/>
  <c r="M2" i="14"/>
  <c r="L2" i="14"/>
  <c r="K2" i="14"/>
  <c r="I2" i="14"/>
  <c r="I4" i="11"/>
  <c r="H4" i="11"/>
  <c r="G4" i="11"/>
  <c r="S6" i="8"/>
  <c r="R6" i="8"/>
  <c r="Q6" i="8"/>
  <c r="P6" i="8"/>
  <c r="B21" i="4"/>
  <c r="B15" i="4"/>
  <c r="B9" i="4"/>
  <c r="F4" i="12" l="1"/>
  <c r="G10" i="7"/>
  <c r="G16" i="7"/>
  <c r="G15" i="7"/>
  <c r="P3" i="15"/>
  <c r="G20" i="7"/>
  <c r="H20" i="7" s="1"/>
  <c r="G24" i="7"/>
  <c r="H24" i="7" s="1"/>
  <c r="G28" i="7"/>
  <c r="H28" i="7" s="1"/>
  <c r="G32" i="7"/>
  <c r="H32" i="7" s="1"/>
  <c r="G36" i="7"/>
  <c r="H36" i="7" s="1"/>
  <c r="G17" i="7"/>
  <c r="H17" i="7" s="1"/>
  <c r="G21" i="7"/>
  <c r="H21" i="7" s="1"/>
  <c r="G25" i="7"/>
  <c r="H25" i="7" s="1"/>
  <c r="G29" i="7"/>
  <c r="H29" i="7" s="1"/>
  <c r="G33" i="7"/>
  <c r="H33" i="7" s="1"/>
  <c r="G37" i="7"/>
  <c r="H37" i="7" s="1"/>
  <c r="G18" i="7"/>
  <c r="H18" i="7" s="1"/>
  <c r="G22" i="7"/>
  <c r="H22" i="7" s="1"/>
  <c r="G26" i="7"/>
  <c r="H26" i="7" s="1"/>
  <c r="G30" i="7"/>
  <c r="H30" i="7" s="1"/>
  <c r="G34" i="7"/>
  <c r="H34" i="7" s="1"/>
  <c r="G38" i="7"/>
  <c r="H38" i="7" s="1"/>
  <c r="G19" i="7"/>
  <c r="H19" i="7" s="1"/>
  <c r="G23" i="7"/>
  <c r="H23" i="7" s="1"/>
  <c r="G27" i="7"/>
  <c r="H27" i="7" s="1"/>
  <c r="G31" i="7"/>
  <c r="H31" i="7" s="1"/>
  <c r="G35" i="7"/>
  <c r="H35" i="7" s="1"/>
  <c r="G39" i="7"/>
  <c r="H39" i="7" s="1"/>
  <c r="H12" i="7"/>
  <c r="H16" i="7"/>
  <c r="H6" i="7"/>
  <c r="H8" i="7"/>
  <c r="H15" i="7"/>
  <c r="H5" i="7"/>
  <c r="H9" i="7"/>
  <c r="H11" i="7"/>
  <c r="H14" i="7"/>
  <c r="H13" i="7"/>
  <c r="H7" i="7"/>
  <c r="H10" i="7"/>
  <c r="Z6" i="7"/>
  <c r="F5" i="15" s="1"/>
  <c r="P5" i="15"/>
  <c r="G12" i="7"/>
  <c r="G11" i="7"/>
  <c r="G6" i="7"/>
  <c r="G8" i="7"/>
  <c r="G7" i="7"/>
  <c r="G13" i="7"/>
  <c r="Z8" i="7"/>
  <c r="F7" i="15" s="1"/>
  <c r="P7" i="15"/>
  <c r="Z11" i="7"/>
  <c r="P10" i="15"/>
  <c r="G5" i="7"/>
  <c r="G14" i="7"/>
  <c r="G9" i="7"/>
  <c r="F10" i="15"/>
  <c r="U16" i="7"/>
  <c r="W15" i="7"/>
  <c r="Y15" i="7" s="1"/>
  <c r="Z15" i="7" s="1"/>
  <c r="I6" i="2"/>
  <c r="AK5" i="7"/>
  <c r="AL5" i="7"/>
  <c r="AJ5" i="7"/>
  <c r="I8" i="2"/>
  <c r="AK7" i="7"/>
  <c r="AJ7" i="7"/>
  <c r="AL7" i="7"/>
  <c r="I39" i="2"/>
  <c r="I35" i="2"/>
  <c r="I31" i="2"/>
  <c r="I27" i="2"/>
  <c r="I23" i="2"/>
  <c r="I19" i="2"/>
  <c r="I15" i="2"/>
  <c r="AJ14" i="7"/>
  <c r="AL14" i="7"/>
  <c r="AK14" i="7"/>
  <c r="I11" i="2"/>
  <c r="AL10" i="7"/>
  <c r="AJ10" i="7"/>
  <c r="AK10" i="7"/>
  <c r="I5" i="2"/>
  <c r="AL4" i="7"/>
  <c r="AJ4" i="7"/>
  <c r="AK4" i="7"/>
  <c r="I7" i="2"/>
  <c r="AL6" i="7"/>
  <c r="AJ6" i="7"/>
  <c r="AK6" i="7"/>
  <c r="I38" i="2"/>
  <c r="I34" i="2"/>
  <c r="I30" i="2"/>
  <c r="I26" i="2"/>
  <c r="I22" i="2"/>
  <c r="I18" i="2"/>
  <c r="I14" i="2"/>
  <c r="AJ13" i="7"/>
  <c r="AK13" i="7"/>
  <c r="AL13" i="7"/>
  <c r="Z13" i="7"/>
  <c r="Z10" i="7"/>
  <c r="I10" i="2"/>
  <c r="AK9" i="7"/>
  <c r="AL9" i="7"/>
  <c r="AJ9" i="7"/>
  <c r="I33" i="2"/>
  <c r="I29" i="2"/>
  <c r="I25" i="2"/>
  <c r="I21" i="2"/>
  <c r="I17" i="2"/>
  <c r="I13" i="2"/>
  <c r="AK12" i="7"/>
  <c r="AL12" i="7"/>
  <c r="AJ12" i="7"/>
  <c r="Z12" i="7"/>
  <c r="Z9" i="7"/>
  <c r="Z4" i="7"/>
  <c r="I37" i="2"/>
  <c r="I9" i="2"/>
  <c r="AL8" i="7"/>
  <c r="AJ8" i="7"/>
  <c r="AK8" i="7"/>
  <c r="I36" i="2"/>
  <c r="I32" i="2"/>
  <c r="I28" i="2"/>
  <c r="I24" i="2"/>
  <c r="I20" i="2"/>
  <c r="I16" i="2"/>
  <c r="AK15" i="7"/>
  <c r="AJ15" i="7"/>
  <c r="AL15" i="7"/>
  <c r="I12" i="2"/>
  <c r="AK11" i="7"/>
  <c r="AJ11" i="7"/>
  <c r="AL11" i="7"/>
  <c r="Z14" i="7"/>
  <c r="Z5" i="7"/>
  <c r="Z7" i="7"/>
  <c r="F6" i="2"/>
  <c r="F7" i="2"/>
  <c r="F8" i="2"/>
  <c r="F9" i="2"/>
  <c r="F5" i="2"/>
  <c r="F3" i="15" l="1"/>
  <c r="F12" i="15"/>
  <c r="F14" i="15"/>
  <c r="F8" i="15"/>
  <c r="F13" i="15"/>
  <c r="F6" i="15"/>
  <c r="F11" i="15"/>
  <c r="F4" i="15"/>
  <c r="F9" i="15"/>
  <c r="U17" i="7"/>
  <c r="W16" i="7"/>
  <c r="Y16" i="7" s="1"/>
  <c r="AM6" i="7"/>
  <c r="AM15" i="7"/>
  <c r="AM4" i="7"/>
  <c r="AM5" i="7"/>
  <c r="AM12" i="7"/>
  <c r="AM13" i="7"/>
  <c r="AM10" i="7"/>
  <c r="AM11" i="7"/>
  <c r="AM8" i="7"/>
  <c r="AM9" i="7"/>
  <c r="I40" i="2"/>
  <c r="AM14" i="7"/>
  <c r="AM7" i="7"/>
  <c r="P38" i="15"/>
  <c r="F39" i="18"/>
  <c r="F43" i="17"/>
  <c r="S43" i="17"/>
  <c r="F44" i="17"/>
  <c r="F45" i="17"/>
  <c r="S45" i="17"/>
  <c r="T45" i="17" s="1"/>
  <c r="F46" i="17"/>
  <c r="C6" i="2"/>
  <c r="C7" i="2"/>
  <c r="C8" i="2"/>
  <c r="C9" i="2"/>
  <c r="C5" i="2"/>
  <c r="I39" i="18" l="1"/>
  <c r="H39" i="18"/>
  <c r="J39" i="18" s="1"/>
  <c r="Q39" i="18"/>
  <c r="R39" i="18" s="1"/>
  <c r="G39" i="18"/>
  <c r="J11" i="15"/>
  <c r="J3" i="15"/>
  <c r="J6" i="15"/>
  <c r="J8" i="15"/>
  <c r="J9" i="15"/>
  <c r="J13" i="15"/>
  <c r="J7" i="15"/>
  <c r="J12" i="15"/>
  <c r="J4" i="15"/>
  <c r="J14" i="15"/>
  <c r="J10" i="15"/>
  <c r="J5" i="15"/>
  <c r="AK16" i="7"/>
  <c r="AL16" i="7"/>
  <c r="Z16" i="7"/>
  <c r="AJ16" i="7"/>
  <c r="U18" i="7"/>
  <c r="W17" i="7"/>
  <c r="Y17" i="7" s="1"/>
  <c r="S39" i="18"/>
  <c r="D6" i="2"/>
  <c r="D7" i="2"/>
  <c r="G39" i="2"/>
  <c r="G35" i="2"/>
  <c r="G31" i="2"/>
  <c r="G27" i="2"/>
  <c r="G23" i="2"/>
  <c r="G19" i="2"/>
  <c r="G7" i="2"/>
  <c r="G38" i="2"/>
  <c r="G34" i="2"/>
  <c r="G30" i="2"/>
  <c r="G26" i="2"/>
  <c r="G22" i="2"/>
  <c r="G18" i="2"/>
  <c r="G6" i="2"/>
  <c r="G37" i="2"/>
  <c r="G33" i="2"/>
  <c r="G29" i="2"/>
  <c r="G25" i="2"/>
  <c r="G21" i="2"/>
  <c r="G17" i="2"/>
  <c r="G9" i="2"/>
  <c r="G5" i="2"/>
  <c r="G36" i="2"/>
  <c r="G32" i="2"/>
  <c r="G28" i="2"/>
  <c r="G24" i="2"/>
  <c r="G20" i="2"/>
  <c r="G16" i="2"/>
  <c r="G8" i="2"/>
  <c r="D8" i="2"/>
  <c r="D9" i="2"/>
  <c r="D5" i="2"/>
  <c r="T43" i="17"/>
  <c r="S46" i="17"/>
  <c r="T46" i="17" s="1"/>
  <c r="S42" i="17"/>
  <c r="T42" i="17" s="1"/>
  <c r="S44" i="17"/>
  <c r="T44" i="17" s="1"/>
  <c r="T39" i="18" l="1"/>
  <c r="X39" i="18"/>
  <c r="F15" i="15"/>
  <c r="Z17" i="7"/>
  <c r="AK17" i="7"/>
  <c r="AJ17" i="7"/>
  <c r="AL17" i="7"/>
  <c r="U19" i="7"/>
  <c r="W18" i="7"/>
  <c r="Y18" i="7" s="1"/>
  <c r="AM16" i="7"/>
  <c r="F35" i="7"/>
  <c r="J15" i="15" l="1"/>
  <c r="F16" i="15"/>
  <c r="AL18" i="7"/>
  <c r="AK18" i="7"/>
  <c r="Z18" i="7"/>
  <c r="AJ18" i="7"/>
  <c r="AM17" i="7"/>
  <c r="U20" i="7"/>
  <c r="W19" i="7"/>
  <c r="Y19" i="7" s="1"/>
  <c r="AM18" i="7" l="1"/>
  <c r="J17" i="15" s="1"/>
  <c r="J16" i="15"/>
  <c r="F17" i="15"/>
  <c r="Z19" i="7"/>
  <c r="AK19" i="7"/>
  <c r="AJ19" i="7"/>
  <c r="AL19" i="7"/>
  <c r="U21" i="7"/>
  <c r="W20" i="7"/>
  <c r="Y20" i="7" s="1"/>
  <c r="I11" i="19"/>
  <c r="E11" i="19"/>
  <c r="I9" i="19"/>
  <c r="E9" i="19"/>
  <c r="I6" i="19"/>
  <c r="H6" i="19"/>
  <c r="H9" i="19" s="1"/>
  <c r="H11" i="19" s="1"/>
  <c r="G6" i="19"/>
  <c r="G9" i="19" s="1"/>
  <c r="G11" i="19" s="1"/>
  <c r="F6" i="19"/>
  <c r="F9" i="19" s="1"/>
  <c r="F11" i="19" s="1"/>
  <c r="E6" i="19"/>
  <c r="G9" i="18"/>
  <c r="F9" i="18"/>
  <c r="S41" i="17"/>
  <c r="S40" i="17"/>
  <c r="S39" i="17"/>
  <c r="S38" i="17"/>
  <c r="S36" i="17"/>
  <c r="S34" i="17"/>
  <c r="S32" i="17"/>
  <c r="S30" i="17"/>
  <c r="S28" i="17"/>
  <c r="S26" i="17"/>
  <c r="S25" i="17"/>
  <c r="T25" i="17" s="1"/>
  <c r="S24" i="17"/>
  <c r="T24" i="17" s="1"/>
  <c r="S23" i="17"/>
  <c r="B23" i="17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J43" i="17"/>
  <c r="J44" i="17" s="1"/>
  <c r="J45" i="17" s="1"/>
  <c r="J46" i="17" s="1"/>
  <c r="B14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G12" i="17"/>
  <c r="H12" i="17" s="1"/>
  <c r="F12" i="17"/>
  <c r="AD21" i="17" l="1"/>
  <c r="AD25" i="17"/>
  <c r="AD29" i="17"/>
  <c r="AD33" i="17"/>
  <c r="AD37" i="17"/>
  <c r="AD41" i="17"/>
  <c r="AD45" i="17"/>
  <c r="AD15" i="18"/>
  <c r="AD19" i="18"/>
  <c r="AD23" i="18"/>
  <c r="AD27" i="18"/>
  <c r="AD31" i="18"/>
  <c r="AD35" i="18"/>
  <c r="AD39" i="18"/>
  <c r="AD43" i="18"/>
  <c r="AD19" i="17"/>
  <c r="AD27" i="17"/>
  <c r="AD35" i="17"/>
  <c r="AD39" i="17"/>
  <c r="AD17" i="17"/>
  <c r="AD21" i="18"/>
  <c r="AD29" i="18"/>
  <c r="AD37" i="18"/>
  <c r="AD20" i="17"/>
  <c r="AD28" i="17"/>
  <c r="AD36" i="17"/>
  <c r="AD44" i="17"/>
  <c r="AD26" i="18"/>
  <c r="AD34" i="18"/>
  <c r="AD38" i="18"/>
  <c r="AD18" i="17"/>
  <c r="AD22" i="17"/>
  <c r="AD26" i="17"/>
  <c r="AD30" i="17"/>
  <c r="AD34" i="17"/>
  <c r="AD38" i="17"/>
  <c r="AD42" i="17"/>
  <c r="AD46" i="17"/>
  <c r="AD16" i="18"/>
  <c r="AD20" i="18"/>
  <c r="AD24" i="18"/>
  <c r="AD28" i="18"/>
  <c r="AD32" i="18"/>
  <c r="AD36" i="18"/>
  <c r="AD40" i="18"/>
  <c r="AD14" i="18"/>
  <c r="AD23" i="17"/>
  <c r="AD31" i="17"/>
  <c r="AD43" i="17"/>
  <c r="AD17" i="18"/>
  <c r="AD25" i="18"/>
  <c r="AD33" i="18"/>
  <c r="AD41" i="18"/>
  <c r="AD24" i="17"/>
  <c r="AD32" i="17"/>
  <c r="AD40" i="17"/>
  <c r="AD18" i="18"/>
  <c r="AD22" i="18"/>
  <c r="AD30" i="18"/>
  <c r="AD42" i="18"/>
  <c r="D3" i="17"/>
  <c r="AA9" i="18"/>
  <c r="D5" i="18"/>
  <c r="F18" i="15"/>
  <c r="AM19" i="7"/>
  <c r="AJ20" i="7"/>
  <c r="Z20" i="7"/>
  <c r="AK20" i="7"/>
  <c r="AL20" i="7"/>
  <c r="U22" i="7"/>
  <c r="W21" i="7"/>
  <c r="Y21" i="7" s="1"/>
  <c r="S12" i="17"/>
  <c r="K5" i="2"/>
  <c r="S9" i="18"/>
  <c r="F5" i="7"/>
  <c r="I12" i="17"/>
  <c r="F13" i="17"/>
  <c r="K6" i="2" s="1"/>
  <c r="T23" i="17"/>
  <c r="G45" i="17"/>
  <c r="G43" i="17"/>
  <c r="G44" i="17"/>
  <c r="G46" i="17"/>
  <c r="O12" i="17"/>
  <c r="N12" i="17"/>
  <c r="S20" i="17"/>
  <c r="T20" i="17" s="1"/>
  <c r="S17" i="17"/>
  <c r="T17" i="17" s="1"/>
  <c r="S19" i="17"/>
  <c r="T19" i="17" s="1"/>
  <c r="S27" i="17"/>
  <c r="T27" i="17" s="1"/>
  <c r="S21" i="17"/>
  <c r="T21" i="17" s="1"/>
  <c r="S31" i="17"/>
  <c r="T31" i="17" s="1"/>
  <c r="S29" i="17"/>
  <c r="T29" i="17" s="1"/>
  <c r="F11" i="18"/>
  <c r="K7" i="2"/>
  <c r="S18" i="17"/>
  <c r="T18" i="17" s="1"/>
  <c r="S22" i="17"/>
  <c r="T22" i="17" s="1"/>
  <c r="S33" i="17"/>
  <c r="T33" i="17" s="1"/>
  <c r="F10" i="18"/>
  <c r="T26" i="17"/>
  <c r="S35" i="17"/>
  <c r="T35" i="17" s="1"/>
  <c r="S37" i="17"/>
  <c r="T37" i="17" s="1"/>
  <c r="K3" i="18"/>
  <c r="T39" i="17"/>
  <c r="T41" i="17"/>
  <c r="T28" i="17"/>
  <c r="T30" i="17"/>
  <c r="T32" i="17"/>
  <c r="T34" i="17"/>
  <c r="T36" i="17"/>
  <c r="T38" i="17"/>
  <c r="T40" i="17"/>
  <c r="G19" i="17" l="1"/>
  <c r="G37" i="17"/>
  <c r="G33" i="17"/>
  <c r="G20" i="17"/>
  <c r="L20" i="17" s="1"/>
  <c r="G28" i="17"/>
  <c r="G36" i="17"/>
  <c r="G41" i="17"/>
  <c r="G34" i="17"/>
  <c r="G23" i="17"/>
  <c r="G21" i="17"/>
  <c r="G35" i="17"/>
  <c r="G22" i="17"/>
  <c r="G30" i="17"/>
  <c r="G38" i="17"/>
  <c r="G29" i="17"/>
  <c r="G26" i="17"/>
  <c r="G27" i="17"/>
  <c r="G25" i="17"/>
  <c r="G39" i="17"/>
  <c r="G24" i="17"/>
  <c r="L24" i="17" s="1"/>
  <c r="G32" i="17"/>
  <c r="G40" i="17"/>
  <c r="K40" i="17" s="1"/>
  <c r="G31" i="17"/>
  <c r="G42" i="17"/>
  <c r="L42" i="17" s="1"/>
  <c r="G14" i="17"/>
  <c r="G16" i="17"/>
  <c r="G18" i="17"/>
  <c r="G15" i="17"/>
  <c r="G17" i="17"/>
  <c r="L40" i="17"/>
  <c r="O40" i="17" s="1"/>
  <c r="AA10" i="18"/>
  <c r="F19" i="15"/>
  <c r="J18" i="15"/>
  <c r="AM20" i="7"/>
  <c r="U23" i="7"/>
  <c r="W22" i="7"/>
  <c r="Y22" i="7" s="1"/>
  <c r="AL21" i="7"/>
  <c r="AJ21" i="7"/>
  <c r="Z21" i="7"/>
  <c r="AK21" i="7"/>
  <c r="S13" i="17"/>
  <c r="F7" i="7"/>
  <c r="F6" i="7"/>
  <c r="N40" i="17"/>
  <c r="K42" i="17"/>
  <c r="K43" i="17"/>
  <c r="L43" i="17"/>
  <c r="K46" i="17"/>
  <c r="L46" i="17"/>
  <c r="L45" i="17"/>
  <c r="K45" i="17"/>
  <c r="M40" i="17"/>
  <c r="K44" i="17"/>
  <c r="L44" i="17"/>
  <c r="K37" i="17"/>
  <c r="L37" i="17"/>
  <c r="S10" i="18"/>
  <c r="T10" i="18" s="1"/>
  <c r="K30" i="17"/>
  <c r="L30" i="17"/>
  <c r="S11" i="18"/>
  <c r="T11" i="18" s="1"/>
  <c r="G11" i="18"/>
  <c r="K29" i="17"/>
  <c r="L29" i="17"/>
  <c r="K31" i="17"/>
  <c r="L31" i="17"/>
  <c r="K36" i="17"/>
  <c r="L36" i="17"/>
  <c r="L23" i="17"/>
  <c r="K23" i="17"/>
  <c r="K41" i="17"/>
  <c r="L41" i="17"/>
  <c r="K33" i="17"/>
  <c r="L33" i="17"/>
  <c r="S14" i="17"/>
  <c r="T14" i="17" s="1"/>
  <c r="F12" i="18"/>
  <c r="G12" i="18" s="1"/>
  <c r="K17" i="17"/>
  <c r="L17" i="17"/>
  <c r="T13" i="17"/>
  <c r="K39" i="17"/>
  <c r="L39" i="17"/>
  <c r="K35" i="17"/>
  <c r="L35" i="17"/>
  <c r="K8" i="2"/>
  <c r="K38" i="17"/>
  <c r="L38" i="17"/>
  <c r="K21" i="17"/>
  <c r="L21" i="17"/>
  <c r="K32" i="17"/>
  <c r="L32" i="17"/>
  <c r="L25" i="17"/>
  <c r="K25" i="17"/>
  <c r="N9" i="18"/>
  <c r="O9" i="18"/>
  <c r="L22" i="17"/>
  <c r="K22" i="17"/>
  <c r="K18" i="17"/>
  <c r="L18" i="17"/>
  <c r="K34" i="17"/>
  <c r="L34" i="17"/>
  <c r="K27" i="17"/>
  <c r="L27" i="17"/>
  <c r="K19" i="17"/>
  <c r="L19" i="17"/>
  <c r="K20" i="17"/>
  <c r="K26" i="17"/>
  <c r="L26" i="17"/>
  <c r="K24" i="17" l="1"/>
  <c r="L28" i="17"/>
  <c r="O28" i="17" s="1"/>
  <c r="K28" i="17"/>
  <c r="K39" i="18"/>
  <c r="L39" i="18"/>
  <c r="O39" i="18" s="1"/>
  <c r="M39" i="18"/>
  <c r="K9" i="2"/>
  <c r="M11" i="18"/>
  <c r="K11" i="18"/>
  <c r="N11" i="18" s="1"/>
  <c r="X11" i="18" s="1"/>
  <c r="L11" i="18"/>
  <c r="F20" i="15"/>
  <c r="J19" i="15"/>
  <c r="AM21" i="7"/>
  <c r="AK22" i="7"/>
  <c r="AJ22" i="7"/>
  <c r="AL22" i="7"/>
  <c r="Z22" i="7"/>
  <c r="U24" i="7"/>
  <c r="W23" i="7"/>
  <c r="Y23" i="7" s="1"/>
  <c r="M22" i="17"/>
  <c r="M41" i="17"/>
  <c r="M44" i="17"/>
  <c r="M37" i="17"/>
  <c r="F8" i="7"/>
  <c r="O11" i="18"/>
  <c r="Y11" i="18" s="1"/>
  <c r="O46" i="17"/>
  <c r="Y46" i="17" s="1"/>
  <c r="AB46" i="17" s="1"/>
  <c r="O43" i="17"/>
  <c r="Y43" i="17" s="1"/>
  <c r="M30" i="17"/>
  <c r="N46" i="17"/>
  <c r="X46" i="17" s="1"/>
  <c r="N43" i="17"/>
  <c r="X43" i="17" s="1"/>
  <c r="O44" i="17"/>
  <c r="Y44" i="17" s="1"/>
  <c r="N45" i="17"/>
  <c r="X45" i="17" s="1"/>
  <c r="O42" i="17"/>
  <c r="N44" i="17"/>
  <c r="X44" i="17" s="1"/>
  <c r="O45" i="17"/>
  <c r="Y45" i="17" s="1"/>
  <c r="AB45" i="17" s="1"/>
  <c r="O20" i="17"/>
  <c r="N27" i="17"/>
  <c r="O18" i="17"/>
  <c r="O25" i="17"/>
  <c r="N32" i="17"/>
  <c r="O38" i="17"/>
  <c r="O35" i="17"/>
  <c r="O17" i="17"/>
  <c r="N33" i="17"/>
  <c r="N23" i="17"/>
  <c r="N29" i="17"/>
  <c r="M45" i="17"/>
  <c r="N42" i="17"/>
  <c r="O21" i="17"/>
  <c r="N38" i="17"/>
  <c r="N35" i="17"/>
  <c r="N24" i="17"/>
  <c r="N17" i="17"/>
  <c r="O23" i="17"/>
  <c r="O31" i="17"/>
  <c r="N30" i="17"/>
  <c r="O37" i="17"/>
  <c r="O26" i="17"/>
  <c r="O19" i="17"/>
  <c r="N26" i="17"/>
  <c r="N19" i="17"/>
  <c r="O34" i="17"/>
  <c r="N22" i="17"/>
  <c r="O32" i="17"/>
  <c r="N21" i="17"/>
  <c r="O39" i="17"/>
  <c r="O24" i="17"/>
  <c r="O41" i="17"/>
  <c r="O36" i="17"/>
  <c r="N31" i="17"/>
  <c r="M29" i="17"/>
  <c r="N37" i="17"/>
  <c r="M46" i="17"/>
  <c r="M42" i="17"/>
  <c r="N18" i="17"/>
  <c r="N20" i="17"/>
  <c r="O27" i="17"/>
  <c r="N34" i="17"/>
  <c r="O22" i="17"/>
  <c r="N25" i="17"/>
  <c r="M32" i="17"/>
  <c r="M21" i="17"/>
  <c r="N39" i="17"/>
  <c r="M24" i="17"/>
  <c r="O33" i="17"/>
  <c r="N41" i="17"/>
  <c r="N36" i="17"/>
  <c r="O29" i="17"/>
  <c r="O30" i="17"/>
  <c r="M43" i="17"/>
  <c r="P40" i="17"/>
  <c r="F13" i="18"/>
  <c r="M36" i="17"/>
  <c r="M19" i="17"/>
  <c r="M34" i="17"/>
  <c r="M18" i="17"/>
  <c r="M25" i="17"/>
  <c r="S16" i="17"/>
  <c r="T16" i="17" s="1"/>
  <c r="S12" i="18"/>
  <c r="T12" i="18" s="1"/>
  <c r="M26" i="17"/>
  <c r="M20" i="17"/>
  <c r="M27" i="17"/>
  <c r="M38" i="17"/>
  <c r="S15" i="17"/>
  <c r="T15" i="17" s="1"/>
  <c r="M39" i="17"/>
  <c r="M33" i="17"/>
  <c r="M31" i="17"/>
  <c r="M35" i="17"/>
  <c r="M17" i="17"/>
  <c r="L14" i="17"/>
  <c r="O14" i="17" s="1"/>
  <c r="K14" i="17"/>
  <c r="N14" i="17" s="1"/>
  <c r="M23" i="17"/>
  <c r="AB43" i="17" l="1"/>
  <c r="AB44" i="17"/>
  <c r="M28" i="17"/>
  <c r="N28" i="17"/>
  <c r="P39" i="18"/>
  <c r="AA39" i="18" s="1"/>
  <c r="P23" i="17"/>
  <c r="P38" i="17"/>
  <c r="P31" i="17"/>
  <c r="AF43" i="18"/>
  <c r="AF40" i="18"/>
  <c r="P41" i="17"/>
  <c r="P45" i="17"/>
  <c r="P37" i="17"/>
  <c r="P46" i="17"/>
  <c r="AG41" i="18"/>
  <c r="P34" i="17"/>
  <c r="P30" i="17"/>
  <c r="AG43" i="18"/>
  <c r="AF42" i="18"/>
  <c r="P26" i="17"/>
  <c r="P32" i="17"/>
  <c r="P36" i="17"/>
  <c r="P44" i="17"/>
  <c r="AG40" i="18"/>
  <c r="AF41" i="18"/>
  <c r="AG42" i="18"/>
  <c r="AG44" i="17"/>
  <c r="AG43" i="17"/>
  <c r="L12" i="18"/>
  <c r="O12" i="18" s="1"/>
  <c r="Y12" i="18" s="1"/>
  <c r="M12" i="18"/>
  <c r="K12" i="18"/>
  <c r="P35" i="17"/>
  <c r="AG46" i="17"/>
  <c r="AG45" i="17"/>
  <c r="J20" i="15"/>
  <c r="F21" i="15"/>
  <c r="U25" i="7"/>
  <c r="W24" i="7"/>
  <c r="Y24" i="7" s="1"/>
  <c r="AM22" i="7"/>
  <c r="Z23" i="7"/>
  <c r="AK23" i="7"/>
  <c r="AL23" i="7"/>
  <c r="AJ23" i="7"/>
  <c r="P29" i="17"/>
  <c r="P33" i="17"/>
  <c r="P20" i="17"/>
  <c r="P24" i="17"/>
  <c r="P27" i="17"/>
  <c r="P19" i="17"/>
  <c r="P43" i="17"/>
  <c r="P18" i="17"/>
  <c r="P17" i="17"/>
  <c r="P22" i="17"/>
  <c r="P25" i="17"/>
  <c r="P39" i="17"/>
  <c r="P21" i="17"/>
  <c r="AG39" i="18"/>
  <c r="AF39" i="18"/>
  <c r="F9" i="7"/>
  <c r="P42" i="17"/>
  <c r="K15" i="17"/>
  <c r="N15" i="17" s="1"/>
  <c r="L15" i="17"/>
  <c r="O15" i="17" s="1"/>
  <c r="M14" i="17"/>
  <c r="P11" i="18"/>
  <c r="L16" i="17"/>
  <c r="O16" i="17" s="1"/>
  <c r="K16" i="17"/>
  <c r="N16" i="17" s="1"/>
  <c r="S13" i="18"/>
  <c r="T13" i="18" s="1"/>
  <c r="G13" i="18"/>
  <c r="P14" i="17"/>
  <c r="F14" i="18"/>
  <c r="P28" i="17" l="1"/>
  <c r="AC45" i="17"/>
  <c r="AC44" i="17"/>
  <c r="AC46" i="17"/>
  <c r="AE46" i="17"/>
  <c r="AE43" i="17"/>
  <c r="AC43" i="17"/>
  <c r="AE44" i="17"/>
  <c r="AE45" i="17"/>
  <c r="K13" i="18"/>
  <c r="L13" i="18"/>
  <c r="M13" i="18"/>
  <c r="F22" i="15"/>
  <c r="J21" i="15"/>
  <c r="U26" i="7"/>
  <c r="W25" i="7"/>
  <c r="Y25" i="7" s="1"/>
  <c r="AM23" i="7"/>
  <c r="Z24" i="7"/>
  <c r="AJ24" i="7"/>
  <c r="AL24" i="7"/>
  <c r="AK24" i="7"/>
  <c r="O13" i="18"/>
  <c r="Y13" i="18" s="1"/>
  <c r="N12" i="18"/>
  <c r="X12" i="18" s="1"/>
  <c r="AB12" i="18" s="1"/>
  <c r="AG42" i="17"/>
  <c r="P16" i="17"/>
  <c r="M15" i="17"/>
  <c r="S14" i="18"/>
  <c r="G14" i="18"/>
  <c r="P15" i="17"/>
  <c r="F15" i="18"/>
  <c r="M16" i="17"/>
  <c r="AC42" i="17" l="1"/>
  <c r="B33" i="10" s="1"/>
  <c r="C33" i="10" s="1"/>
  <c r="M14" i="18"/>
  <c r="K14" i="18"/>
  <c r="L14" i="18"/>
  <c r="AF14" i="18" s="1"/>
  <c r="F10" i="2" s="1"/>
  <c r="G10" i="2" s="1"/>
  <c r="F23" i="15"/>
  <c r="J22" i="15"/>
  <c r="U27" i="7"/>
  <c r="W26" i="7"/>
  <c r="Y26" i="7" s="1"/>
  <c r="AM24" i="7"/>
  <c r="AL25" i="7"/>
  <c r="AK25" i="7"/>
  <c r="Z25" i="7"/>
  <c r="AJ25" i="7"/>
  <c r="F10" i="7"/>
  <c r="P12" i="18"/>
  <c r="N13" i="18"/>
  <c r="C36" i="2"/>
  <c r="T14" i="18"/>
  <c r="C38" i="2"/>
  <c r="C37" i="2"/>
  <c r="C39" i="2"/>
  <c r="F16" i="18"/>
  <c r="S15" i="18"/>
  <c r="T15" i="18" s="1"/>
  <c r="G15" i="18"/>
  <c r="P13" i="18" l="1"/>
  <c r="X13" i="18"/>
  <c r="I16" i="18"/>
  <c r="H16" i="18"/>
  <c r="J16" i="18" s="1"/>
  <c r="Q16" i="18"/>
  <c r="R16" i="18" s="1"/>
  <c r="G16" i="18"/>
  <c r="K15" i="18"/>
  <c r="L15" i="18"/>
  <c r="M15" i="18"/>
  <c r="D39" i="2"/>
  <c r="K39" i="2" s="1"/>
  <c r="E37" i="4"/>
  <c r="D36" i="2"/>
  <c r="K36" i="2" s="1"/>
  <c r="E34" i="4"/>
  <c r="D37" i="2"/>
  <c r="K37" i="2" s="1"/>
  <c r="E35" i="4"/>
  <c r="D38" i="2"/>
  <c r="K38" i="2" s="1"/>
  <c r="E36" i="4"/>
  <c r="J23" i="15"/>
  <c r="F24" i="15"/>
  <c r="AM25" i="7"/>
  <c r="U28" i="7"/>
  <c r="W27" i="7"/>
  <c r="Y27" i="7" s="1"/>
  <c r="AK26" i="7"/>
  <c r="Z26" i="7"/>
  <c r="AJ26" i="7"/>
  <c r="AL26" i="7"/>
  <c r="F11" i="7"/>
  <c r="AE42" i="17"/>
  <c r="C35" i="2" s="1"/>
  <c r="B34" i="10"/>
  <c r="C34" i="10" s="1"/>
  <c r="N14" i="18"/>
  <c r="X14" i="18" s="1"/>
  <c r="AG14" i="18"/>
  <c r="F17" i="18"/>
  <c r="O14" i="18"/>
  <c r="Y14" i="18" s="1"/>
  <c r="AG16" i="17"/>
  <c r="S16" i="18"/>
  <c r="X16" i="18" s="1"/>
  <c r="H17" i="18" l="1"/>
  <c r="I17" i="18"/>
  <c r="Q17" i="18"/>
  <c r="R17" i="18" s="1"/>
  <c r="G17" i="18"/>
  <c r="K16" i="18"/>
  <c r="L16" i="18"/>
  <c r="O16" i="18" s="1"/>
  <c r="M16" i="18"/>
  <c r="D35" i="2"/>
  <c r="K35" i="2" s="1"/>
  <c r="E33" i="4"/>
  <c r="F25" i="15"/>
  <c r="J24" i="15"/>
  <c r="AM26" i="7"/>
  <c r="U29" i="7"/>
  <c r="W28" i="7"/>
  <c r="Y28" i="7" s="1"/>
  <c r="AJ27" i="7"/>
  <c r="AL27" i="7"/>
  <c r="AK27" i="7"/>
  <c r="Z27" i="7"/>
  <c r="F12" i="7"/>
  <c r="AF15" i="18"/>
  <c r="F11" i="2" s="1"/>
  <c r="G11" i="2" s="1"/>
  <c r="P14" i="18"/>
  <c r="B35" i="10"/>
  <c r="C35" i="10" s="1"/>
  <c r="N15" i="18"/>
  <c r="X15" i="18" s="1"/>
  <c r="AG15" i="18"/>
  <c r="AE14" i="18"/>
  <c r="S17" i="18"/>
  <c r="T16" i="18"/>
  <c r="O15" i="18"/>
  <c r="Y15" i="18" s="1"/>
  <c r="J17" i="18" l="1"/>
  <c r="T17" i="18"/>
  <c r="X17" i="18"/>
  <c r="P15" i="18"/>
  <c r="L17" i="18"/>
  <c r="M17" i="18"/>
  <c r="K17" i="18"/>
  <c r="J25" i="15"/>
  <c r="F26" i="15"/>
  <c r="AM27" i="7"/>
  <c r="AJ28" i="7"/>
  <c r="AK28" i="7"/>
  <c r="AL28" i="7"/>
  <c r="Z28" i="7"/>
  <c r="U30" i="7"/>
  <c r="W29" i="7"/>
  <c r="Y29" i="7" s="1"/>
  <c r="F13" i="7"/>
  <c r="B36" i="10"/>
  <c r="C36" i="10" s="1"/>
  <c r="AF16" i="18"/>
  <c r="F12" i="2" s="1"/>
  <c r="G12" i="2" s="1"/>
  <c r="AG17" i="17"/>
  <c r="AG18" i="17"/>
  <c r="AG16" i="18"/>
  <c r="AF17" i="18" l="1"/>
  <c r="F13" i="2" s="1"/>
  <c r="G13" i="2" s="1"/>
  <c r="O17" i="18"/>
  <c r="F27" i="15"/>
  <c r="J26" i="15"/>
  <c r="U31" i="7"/>
  <c r="W30" i="7"/>
  <c r="Y30" i="7" s="1"/>
  <c r="AJ29" i="7"/>
  <c r="AL29" i="7"/>
  <c r="Z29" i="7"/>
  <c r="AK29" i="7"/>
  <c r="AM28" i="7"/>
  <c r="B37" i="10"/>
  <c r="C37" i="10" s="1"/>
  <c r="AC17" i="17"/>
  <c r="B8" i="10" s="1"/>
  <c r="C8" i="10" s="1"/>
  <c r="AC18" i="17"/>
  <c r="B9" i="10" s="1"/>
  <c r="C9" i="10" s="1"/>
  <c r="AG19" i="17"/>
  <c r="AG17" i="18"/>
  <c r="AH14" i="18"/>
  <c r="AE17" i="17"/>
  <c r="C10" i="2" s="1"/>
  <c r="AE18" i="17"/>
  <c r="C11" i="2" s="1"/>
  <c r="P17" i="18" l="1"/>
  <c r="AA17" i="18" s="1"/>
  <c r="D11" i="2"/>
  <c r="K11" i="2" s="1"/>
  <c r="E9" i="4"/>
  <c r="D10" i="2"/>
  <c r="K10" i="2" s="1"/>
  <c r="E8" i="4"/>
  <c r="AE19" i="17"/>
  <c r="C12" i="2" s="1"/>
  <c r="F28" i="15"/>
  <c r="J27" i="15"/>
  <c r="AM29" i="7"/>
  <c r="AJ30" i="7"/>
  <c r="AL30" i="7"/>
  <c r="AK30" i="7"/>
  <c r="Z30" i="7"/>
  <c r="U32" i="7"/>
  <c r="W31" i="7"/>
  <c r="Y31" i="7" s="1"/>
  <c r="AG20" i="17"/>
  <c r="D12" i="2" l="1"/>
  <c r="K12" i="2" s="1"/>
  <c r="E10" i="4"/>
  <c r="AC19" i="17"/>
  <c r="B10" i="10" s="1"/>
  <c r="J28" i="15"/>
  <c r="F29" i="15"/>
  <c r="U33" i="7"/>
  <c r="W32" i="7"/>
  <c r="Y32" i="7" s="1"/>
  <c r="AM30" i="7"/>
  <c r="Z31" i="7"/>
  <c r="AL31" i="7"/>
  <c r="AJ31" i="7"/>
  <c r="AK31" i="7"/>
  <c r="C10" i="10" l="1"/>
  <c r="B11" i="10"/>
  <c r="C11" i="10" s="1"/>
  <c r="F30" i="15"/>
  <c r="J29" i="15"/>
  <c r="AM31" i="7"/>
  <c r="U34" i="7"/>
  <c r="W33" i="7"/>
  <c r="Y33" i="7" s="1"/>
  <c r="AL32" i="7"/>
  <c r="AK32" i="7"/>
  <c r="AJ32" i="7"/>
  <c r="Z32" i="7"/>
  <c r="AE20" i="17"/>
  <c r="C13" i="2" s="1"/>
  <c r="D13" i="2" l="1"/>
  <c r="K13" i="2" s="1"/>
  <c r="E11" i="4"/>
  <c r="J30" i="15"/>
  <c r="F31" i="15"/>
  <c r="AM32" i="7"/>
  <c r="AJ33" i="7"/>
  <c r="AK33" i="7"/>
  <c r="Z33" i="7"/>
  <c r="AL33" i="7"/>
  <c r="U35" i="7"/>
  <c r="W34" i="7"/>
  <c r="Y34" i="7" s="1"/>
  <c r="F24" i="18"/>
  <c r="I24" i="18" l="1"/>
  <c r="H24" i="18"/>
  <c r="J24" i="18" s="1"/>
  <c r="Q24" i="18"/>
  <c r="R24" i="18" s="1"/>
  <c r="G24" i="18"/>
  <c r="J31" i="15"/>
  <c r="F32" i="15"/>
  <c r="U36" i="7"/>
  <c r="W35" i="7"/>
  <c r="Y35" i="7" s="1"/>
  <c r="AM33" i="7"/>
  <c r="AJ34" i="7"/>
  <c r="AL34" i="7"/>
  <c r="AK34" i="7"/>
  <c r="Z34" i="7"/>
  <c r="S24" i="18"/>
  <c r="X24" i="18" s="1"/>
  <c r="F25" i="18"/>
  <c r="I25" i="18" l="1"/>
  <c r="H25" i="18"/>
  <c r="Q25" i="18"/>
  <c r="R25" i="18" s="1"/>
  <c r="G25" i="18"/>
  <c r="K24" i="18"/>
  <c r="L24" i="18"/>
  <c r="M24" i="18"/>
  <c r="F33" i="15"/>
  <c r="J32" i="15"/>
  <c r="AM34" i="7"/>
  <c r="AK35" i="7"/>
  <c r="Z35" i="7"/>
  <c r="AL35" i="7"/>
  <c r="AJ35" i="7"/>
  <c r="U37" i="7"/>
  <c r="W36" i="7"/>
  <c r="Y36" i="7" s="1"/>
  <c r="F20" i="7"/>
  <c r="F26" i="18"/>
  <c r="S25" i="18"/>
  <c r="T24" i="18"/>
  <c r="AM35" i="7" l="1"/>
  <c r="J34" i="15" s="1"/>
  <c r="T25" i="18"/>
  <c r="X25" i="18"/>
  <c r="I26" i="18"/>
  <c r="H26" i="18"/>
  <c r="J26" i="18" s="1"/>
  <c r="Q26" i="18"/>
  <c r="R26" i="18" s="1"/>
  <c r="J25" i="18"/>
  <c r="AF24" i="18"/>
  <c r="O24" i="18"/>
  <c r="G26" i="18"/>
  <c r="L25" i="18"/>
  <c r="O25" i="18" s="1"/>
  <c r="M25" i="18"/>
  <c r="K25" i="18"/>
  <c r="J33" i="15"/>
  <c r="F34" i="15"/>
  <c r="U38" i="7"/>
  <c r="W38" i="7" s="1"/>
  <c r="Y38" i="7" s="1"/>
  <c r="W37" i="7"/>
  <c r="Y37" i="7" s="1"/>
  <c r="AL36" i="7"/>
  <c r="Z36" i="7"/>
  <c r="AK36" i="7"/>
  <c r="AJ36" i="7"/>
  <c r="F21" i="7"/>
  <c r="AG24" i="18"/>
  <c r="F27" i="18"/>
  <c r="S26" i="18"/>
  <c r="H27" i="18" l="1"/>
  <c r="I27" i="18"/>
  <c r="Q27" i="18"/>
  <c r="R27" i="18" s="1"/>
  <c r="T26" i="18"/>
  <c r="X26" i="18"/>
  <c r="P24" i="18"/>
  <c r="AA24" i="18" s="1"/>
  <c r="G27" i="18"/>
  <c r="M26" i="18"/>
  <c r="K26" i="18"/>
  <c r="L26" i="18"/>
  <c r="O26" i="18" s="1"/>
  <c r="F35" i="15"/>
  <c r="AM36" i="7"/>
  <c r="AK37" i="7"/>
  <c r="AJ37" i="7"/>
  <c r="AL37" i="7"/>
  <c r="Z37" i="7"/>
  <c r="AJ38" i="7"/>
  <c r="AK38" i="7"/>
  <c r="Z38" i="7"/>
  <c r="AL38" i="7"/>
  <c r="F22" i="7"/>
  <c r="AG27" i="17"/>
  <c r="P25" i="18"/>
  <c r="AA25" i="18" s="1"/>
  <c r="AG25" i="18"/>
  <c r="AF25" i="18"/>
  <c r="F28" i="18"/>
  <c r="S27" i="18"/>
  <c r="X27" i="18" s="1"/>
  <c r="I28" i="18" l="1"/>
  <c r="H28" i="18"/>
  <c r="J28" i="18" s="1"/>
  <c r="Q28" i="18"/>
  <c r="R28" i="18" s="1"/>
  <c r="J27" i="18"/>
  <c r="AF26" i="18"/>
  <c r="G28" i="18"/>
  <c r="K27" i="18"/>
  <c r="L27" i="18"/>
  <c r="F36" i="15"/>
  <c r="F37" i="15"/>
  <c r="F38" i="15" s="1"/>
  <c r="J35" i="15"/>
  <c r="AM37" i="7"/>
  <c r="AM38" i="7"/>
  <c r="F23" i="7"/>
  <c r="AG28" i="17"/>
  <c r="P26" i="18"/>
  <c r="AA26" i="18" s="1"/>
  <c r="AG26" i="18"/>
  <c r="S28" i="18"/>
  <c r="T27" i="18"/>
  <c r="F29" i="18"/>
  <c r="H29" i="18" l="1"/>
  <c r="I29" i="18"/>
  <c r="J29" i="18" s="1"/>
  <c r="Q29" i="18"/>
  <c r="R29" i="18" s="1"/>
  <c r="M27" i="18"/>
  <c r="T28" i="18"/>
  <c r="X28" i="18"/>
  <c r="AF27" i="18"/>
  <c r="O27" i="18"/>
  <c r="G29" i="18"/>
  <c r="AC27" i="17"/>
  <c r="B18" i="10" s="1"/>
  <c r="AE28" i="17"/>
  <c r="C21" i="2" s="1"/>
  <c r="K28" i="18"/>
  <c r="L28" i="18"/>
  <c r="M28" i="18"/>
  <c r="J36" i="15"/>
  <c r="J37" i="15"/>
  <c r="F24" i="7"/>
  <c r="AE27" i="17"/>
  <c r="C20" i="2" s="1"/>
  <c r="AG29" i="17"/>
  <c r="AG27" i="18"/>
  <c r="S29" i="18"/>
  <c r="X29" i="18" s="1"/>
  <c r="F30" i="18"/>
  <c r="J38" i="15" l="1"/>
  <c r="I30" i="18"/>
  <c r="H30" i="18"/>
  <c r="J30" i="18" s="1"/>
  <c r="Q30" i="18"/>
  <c r="R30" i="18" s="1"/>
  <c r="AF28" i="18"/>
  <c r="O28" i="18"/>
  <c r="P27" i="18"/>
  <c r="AA27" i="18" s="1"/>
  <c r="G30" i="18"/>
  <c r="C18" i="10"/>
  <c r="AC28" i="17"/>
  <c r="B19" i="10" s="1"/>
  <c r="C19" i="10" s="1"/>
  <c r="D21" i="2"/>
  <c r="K21" i="2" s="1"/>
  <c r="E19" i="4"/>
  <c r="L29" i="18"/>
  <c r="M29" i="18"/>
  <c r="K29" i="18"/>
  <c r="D20" i="2"/>
  <c r="K20" i="2" s="1"/>
  <c r="E18" i="4"/>
  <c r="AE29" i="17"/>
  <c r="C22" i="2" s="1"/>
  <c r="F25" i="7"/>
  <c r="AG30" i="17"/>
  <c r="AG28" i="18"/>
  <c r="S30" i="18"/>
  <c r="X30" i="18" s="1"/>
  <c r="F31" i="18"/>
  <c r="T29" i="18"/>
  <c r="I31" i="18" l="1"/>
  <c r="H31" i="18"/>
  <c r="J31" i="18" s="1"/>
  <c r="Q31" i="18"/>
  <c r="R31" i="18" s="1"/>
  <c r="AF29" i="18"/>
  <c r="O29" i="18"/>
  <c r="P28" i="18"/>
  <c r="AA28" i="18" s="1"/>
  <c r="G31" i="18"/>
  <c r="D22" i="2"/>
  <c r="K22" i="2" s="1"/>
  <c r="E20" i="4"/>
  <c r="M30" i="18"/>
  <c r="K30" i="18"/>
  <c r="L30" i="18"/>
  <c r="O30" i="18" s="1"/>
  <c r="AC29" i="17"/>
  <c r="B20" i="10" s="1"/>
  <c r="F26" i="7"/>
  <c r="AG31" i="17"/>
  <c r="AG29" i="18"/>
  <c r="S31" i="18"/>
  <c r="F32" i="18"/>
  <c r="T30" i="18"/>
  <c r="T31" i="18" l="1"/>
  <c r="X31" i="18"/>
  <c r="I32" i="18"/>
  <c r="H32" i="18"/>
  <c r="J32" i="18" s="1"/>
  <c r="Q32" i="18"/>
  <c r="R32" i="18" s="1"/>
  <c r="AF30" i="18"/>
  <c r="P29" i="18"/>
  <c r="AA29" i="18" s="1"/>
  <c r="G32" i="18"/>
  <c r="AE31" i="17"/>
  <c r="C24" i="2" s="1"/>
  <c r="AC30" i="17"/>
  <c r="B21" i="10" s="1"/>
  <c r="C21" i="10" s="1"/>
  <c r="K31" i="18"/>
  <c r="L31" i="18"/>
  <c r="M31" i="18"/>
  <c r="C20" i="10"/>
  <c r="F27" i="7"/>
  <c r="AE30" i="17"/>
  <c r="C23" i="2" s="1"/>
  <c r="AG32" i="17"/>
  <c r="P30" i="18"/>
  <c r="AA30" i="18" s="1"/>
  <c r="AG30" i="18"/>
  <c r="F33" i="18"/>
  <c r="S32" i="18"/>
  <c r="T32" i="18" l="1"/>
  <c r="X32" i="18"/>
  <c r="I33" i="18"/>
  <c r="H33" i="18"/>
  <c r="Q33" i="18"/>
  <c r="R33" i="18" s="1"/>
  <c r="AF31" i="18"/>
  <c r="O31" i="18"/>
  <c r="G33" i="18"/>
  <c r="AC31" i="17"/>
  <c r="B22" i="10" s="1"/>
  <c r="C22" i="10" s="1"/>
  <c r="D23" i="2"/>
  <c r="K23" i="2" s="1"/>
  <c r="E21" i="4"/>
  <c r="D24" i="2"/>
  <c r="K24" i="2" s="1"/>
  <c r="E22" i="4"/>
  <c r="AE32" i="17"/>
  <c r="C25" i="2" s="1"/>
  <c r="K32" i="18"/>
  <c r="L32" i="18"/>
  <c r="M32" i="18"/>
  <c r="F28" i="7"/>
  <c r="AG33" i="17"/>
  <c r="AG31" i="18"/>
  <c r="F34" i="18"/>
  <c r="S33" i="18"/>
  <c r="X33" i="18" s="1"/>
  <c r="J33" i="18" l="1"/>
  <c r="I34" i="18"/>
  <c r="H34" i="18"/>
  <c r="Q34" i="18"/>
  <c r="R34" i="18" s="1"/>
  <c r="AF32" i="18"/>
  <c r="O32" i="18"/>
  <c r="P31" i="18"/>
  <c r="AA31" i="18" s="1"/>
  <c r="G34" i="18"/>
  <c r="L33" i="18"/>
  <c r="M33" i="18"/>
  <c r="K33" i="18"/>
  <c r="AE33" i="17"/>
  <c r="C26" i="2" s="1"/>
  <c r="D25" i="2"/>
  <c r="K25" i="2" s="1"/>
  <c r="E23" i="4"/>
  <c r="AC32" i="17"/>
  <c r="B23" i="10" s="1"/>
  <c r="C23" i="10" s="1"/>
  <c r="F29" i="7"/>
  <c r="AG34" i="17"/>
  <c r="AG32" i="18"/>
  <c r="S34" i="18"/>
  <c r="T33" i="18"/>
  <c r="F35" i="18"/>
  <c r="I35" i="18" l="1"/>
  <c r="H35" i="18"/>
  <c r="Q35" i="18"/>
  <c r="R35" i="18" s="1"/>
  <c r="J34" i="18"/>
  <c r="T34" i="18"/>
  <c r="X34" i="18"/>
  <c r="AF33" i="18"/>
  <c r="O33" i="18"/>
  <c r="P32" i="18"/>
  <c r="AA32" i="18" s="1"/>
  <c r="G35" i="18"/>
  <c r="AC33" i="17"/>
  <c r="B24" i="10" s="1"/>
  <c r="D26" i="2"/>
  <c r="K26" i="2" s="1"/>
  <c r="E24" i="4"/>
  <c r="M34" i="18"/>
  <c r="K34" i="18"/>
  <c r="L34" i="18"/>
  <c r="F30" i="7"/>
  <c r="AG35" i="17"/>
  <c r="AG33" i="18"/>
  <c r="F36" i="18"/>
  <c r="S35" i="18"/>
  <c r="T35" i="18" l="1"/>
  <c r="X35" i="18"/>
  <c r="J35" i="18"/>
  <c r="H36" i="18"/>
  <c r="J36" i="18" s="1"/>
  <c r="I36" i="18"/>
  <c r="Q36" i="18"/>
  <c r="R36" i="18" s="1"/>
  <c r="AF34" i="18"/>
  <c r="O34" i="18"/>
  <c r="P33" i="18"/>
  <c r="AA33" i="18" s="1"/>
  <c r="G36" i="18"/>
  <c r="C24" i="10"/>
  <c r="AC34" i="17"/>
  <c r="B25" i="10" s="1"/>
  <c r="AE35" i="17"/>
  <c r="C28" i="2" s="1"/>
  <c r="K35" i="18"/>
  <c r="L35" i="18"/>
  <c r="M35" i="18"/>
  <c r="F31" i="7"/>
  <c r="AE34" i="17"/>
  <c r="C27" i="2" s="1"/>
  <c r="AG36" i="17"/>
  <c r="AG34" i="18"/>
  <c r="S36" i="18"/>
  <c r="F37" i="18"/>
  <c r="I37" i="18" l="1"/>
  <c r="H37" i="18"/>
  <c r="Q37" i="18"/>
  <c r="R37" i="18" s="1"/>
  <c r="T36" i="18"/>
  <c r="X36" i="18"/>
  <c r="AF35" i="18"/>
  <c r="O35" i="18"/>
  <c r="P34" i="18"/>
  <c r="AA34" i="18" s="1"/>
  <c r="G37" i="18"/>
  <c r="AC35" i="17"/>
  <c r="B26" i="10" s="1"/>
  <c r="AE36" i="17"/>
  <c r="C29" i="2" s="1"/>
  <c r="D27" i="2"/>
  <c r="K27" i="2" s="1"/>
  <c r="E25" i="4"/>
  <c r="D28" i="2"/>
  <c r="K28" i="2" s="1"/>
  <c r="E26" i="4"/>
  <c r="K36" i="18"/>
  <c r="L36" i="18"/>
  <c r="M36" i="18"/>
  <c r="F32" i="7"/>
  <c r="AG37" i="17"/>
  <c r="C25" i="10"/>
  <c r="AG35" i="18"/>
  <c r="F38" i="18"/>
  <c r="S37" i="18"/>
  <c r="X37" i="18" s="1"/>
  <c r="H38" i="18" l="1"/>
  <c r="I38" i="18"/>
  <c r="Q38" i="18"/>
  <c r="R38" i="18" s="1"/>
  <c r="J37" i="18"/>
  <c r="P35" i="18"/>
  <c r="AA35" i="18" s="1"/>
  <c r="AF36" i="18"/>
  <c r="O36" i="18"/>
  <c r="G38" i="18"/>
  <c r="D29" i="2"/>
  <c r="K29" i="2" s="1"/>
  <c r="E27" i="4"/>
  <c r="AC36" i="17"/>
  <c r="B27" i="10" s="1"/>
  <c r="C27" i="10" s="1"/>
  <c r="L37" i="18"/>
  <c r="M37" i="18"/>
  <c r="K37" i="18"/>
  <c r="F33" i="7"/>
  <c r="C26" i="10"/>
  <c r="AG36" i="18"/>
  <c r="S38" i="18"/>
  <c r="T37" i="18"/>
  <c r="T38" i="18" l="1"/>
  <c r="X38" i="18"/>
  <c r="J38" i="18"/>
  <c r="P36" i="18"/>
  <c r="AA36" i="18" s="1"/>
  <c r="AF37" i="18"/>
  <c r="O37" i="18"/>
  <c r="M38" i="18"/>
  <c r="K38" i="18"/>
  <c r="L38" i="18"/>
  <c r="O38" i="18" s="1"/>
  <c r="AE38" i="17"/>
  <c r="C31" i="2" s="1"/>
  <c r="AC37" i="17"/>
  <c r="B28" i="10" s="1"/>
  <c r="F34" i="7"/>
  <c r="AE37" i="17"/>
  <c r="C30" i="2" s="1"/>
  <c r="AG37" i="18"/>
  <c r="AG38" i="17"/>
  <c r="AG39" i="17"/>
  <c r="AF38" i="18"/>
  <c r="P37" i="18" l="1"/>
  <c r="AA37" i="18" s="1"/>
  <c r="AC38" i="17"/>
  <c r="B29" i="10" s="1"/>
  <c r="D31" i="2"/>
  <c r="K31" i="2" s="1"/>
  <c r="E29" i="4"/>
  <c r="AE39" i="17"/>
  <c r="C32" i="2" s="1"/>
  <c r="C28" i="10"/>
  <c r="D30" i="2"/>
  <c r="K30" i="2" s="1"/>
  <c r="E28" i="4"/>
  <c r="P38" i="18"/>
  <c r="AA38" i="18" s="1"/>
  <c r="AG38" i="18"/>
  <c r="M4" i="3"/>
  <c r="M5" i="3"/>
  <c r="M6" i="3"/>
  <c r="M7" i="3"/>
  <c r="M3" i="3"/>
  <c r="G4" i="3"/>
  <c r="G5" i="3"/>
  <c r="G6" i="3"/>
  <c r="G3" i="3"/>
  <c r="C29" i="10" l="1"/>
  <c r="AC39" i="17"/>
  <c r="B30" i="10" s="1"/>
  <c r="C30" i="10" s="1"/>
  <c r="D32" i="2"/>
  <c r="K32" i="2" s="1"/>
  <c r="E30" i="4"/>
  <c r="AG41" i="17"/>
  <c r="AG40" i="17"/>
  <c r="O7" i="15"/>
  <c r="O6" i="15"/>
  <c r="O5" i="15"/>
  <c r="O4" i="15"/>
  <c r="O3" i="15"/>
  <c r="G4" i="15"/>
  <c r="G5" i="15"/>
  <c r="G6" i="15"/>
  <c r="G3" i="15"/>
  <c r="D4" i="15"/>
  <c r="D5" i="15"/>
  <c r="D6" i="15"/>
  <c r="D7" i="15"/>
  <c r="D3" i="15"/>
  <c r="A3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C40" i="17" l="1"/>
  <c r="B31" i="10" s="1"/>
  <c r="AE41" i="17"/>
  <c r="C34" i="2" s="1"/>
  <c r="AE40" i="17"/>
  <c r="C33" i="2" s="1"/>
  <c r="D34" i="2" l="1"/>
  <c r="K34" i="2" s="1"/>
  <c r="E32" i="4"/>
  <c r="D33" i="2"/>
  <c r="K33" i="2" s="1"/>
  <c r="E31" i="4"/>
  <c r="AC41" i="17"/>
  <c r="B32" i="10" s="1"/>
  <c r="C32" i="10" s="1"/>
  <c r="C31" i="10"/>
  <c r="B40" i="2" l="1"/>
  <c r="D8" i="10" l="1"/>
  <c r="M8" i="15" s="1"/>
  <c r="B7" i="8" l="1"/>
  <c r="B10" i="8"/>
  <c r="B9" i="8"/>
  <c r="B8" i="8"/>
  <c r="B9" i="12"/>
  <c r="C9" i="12" s="1"/>
  <c r="A9" i="12"/>
  <c r="B8" i="12"/>
  <c r="C8" i="12" s="1"/>
  <c r="A8" i="12"/>
  <c r="B7" i="12"/>
  <c r="C7" i="12" s="1"/>
  <c r="A7" i="12"/>
  <c r="B6" i="12"/>
  <c r="C6" i="12" s="1"/>
  <c r="A6" i="12"/>
  <c r="C10" i="11"/>
  <c r="E10" i="11" s="1"/>
  <c r="H10" i="11" s="1"/>
  <c r="C9" i="11"/>
  <c r="D9" i="11" s="1"/>
  <c r="G9" i="11" s="1"/>
  <c r="C8" i="11"/>
  <c r="D8" i="11" s="1"/>
  <c r="G8" i="11" s="1"/>
  <c r="C7" i="11"/>
  <c r="F7" i="11" s="1"/>
  <c r="I7" i="11" s="1"/>
  <c r="B6" i="14"/>
  <c r="G6" i="14" s="1"/>
  <c r="M6" i="14" s="1"/>
  <c r="B7" i="14"/>
  <c r="B8" i="14"/>
  <c r="G8" i="14" s="1"/>
  <c r="M8" i="14" s="1"/>
  <c r="B9" i="14"/>
  <c r="G9" i="14" s="1"/>
  <c r="M9" i="14" s="1"/>
  <c r="B10" i="14"/>
  <c r="C10" i="14" s="1"/>
  <c r="I10" i="14" s="1"/>
  <c r="B11" i="14"/>
  <c r="B12" i="14"/>
  <c r="B13" i="14"/>
  <c r="B20" i="14"/>
  <c r="B21" i="14"/>
  <c r="B22" i="14"/>
  <c r="B23" i="14"/>
  <c r="B24" i="14"/>
  <c r="B25" i="14"/>
  <c r="F25" i="14" s="1"/>
  <c r="L25" i="14" s="1"/>
  <c r="B26" i="14"/>
  <c r="B27" i="14"/>
  <c r="B28" i="14"/>
  <c r="B29" i="14"/>
  <c r="F29" i="14" s="1"/>
  <c r="L29" i="14" s="1"/>
  <c r="B30" i="14"/>
  <c r="B31" i="14"/>
  <c r="B32" i="14"/>
  <c r="B33" i="14"/>
  <c r="F33" i="14" s="1"/>
  <c r="L33" i="14" s="1"/>
  <c r="B34" i="14"/>
  <c r="B35" i="14"/>
  <c r="B36" i="14"/>
  <c r="B37" i="14"/>
  <c r="F37" i="14" s="1"/>
  <c r="L37" i="14" s="1"/>
  <c r="B38" i="14"/>
  <c r="E38" i="14" s="1"/>
  <c r="K38" i="14" s="1"/>
  <c r="B39" i="14"/>
  <c r="B5" i="14"/>
  <c r="E5" i="14" s="1"/>
  <c r="K5" i="14" s="1"/>
  <c r="D4" i="14"/>
  <c r="E4" i="14"/>
  <c r="F4" i="14"/>
  <c r="G4" i="14"/>
  <c r="C4" i="14"/>
  <c r="F5" i="14" l="1"/>
  <c r="L5" i="14" s="1"/>
  <c r="G37" i="14"/>
  <c r="M37" i="14" s="1"/>
  <c r="D29" i="14"/>
  <c r="J29" i="14" s="1"/>
  <c r="E26" i="14"/>
  <c r="K26" i="14" s="1"/>
  <c r="E21" i="14"/>
  <c r="K21" i="14" s="1"/>
  <c r="D13" i="14"/>
  <c r="J13" i="14" s="1"/>
  <c r="D37" i="14"/>
  <c r="J37" i="14" s="1"/>
  <c r="C25" i="14"/>
  <c r="F6" i="14"/>
  <c r="L6" i="14" s="1"/>
  <c r="C36" i="14"/>
  <c r="C32" i="14"/>
  <c r="C28" i="14"/>
  <c r="C24" i="14"/>
  <c r="C20" i="14"/>
  <c r="F12" i="14"/>
  <c r="L12" i="14" s="1"/>
  <c r="F8" i="14"/>
  <c r="L8" i="14" s="1"/>
  <c r="E33" i="14"/>
  <c r="K33" i="14" s="1"/>
  <c r="E8" i="14"/>
  <c r="K8" i="14" s="1"/>
  <c r="E34" i="14"/>
  <c r="K34" i="14" s="1"/>
  <c r="E30" i="14"/>
  <c r="K30" i="14" s="1"/>
  <c r="E22" i="14"/>
  <c r="K22" i="14" s="1"/>
  <c r="G5" i="14"/>
  <c r="M5" i="14" s="1"/>
  <c r="D39" i="14"/>
  <c r="J39" i="14" s="1"/>
  <c r="D35" i="14"/>
  <c r="J35" i="14" s="1"/>
  <c r="D31" i="14"/>
  <c r="J31" i="14" s="1"/>
  <c r="D27" i="14"/>
  <c r="J27" i="14" s="1"/>
  <c r="D23" i="14"/>
  <c r="J23" i="14" s="1"/>
  <c r="D5" i="14"/>
  <c r="J5" i="14" s="1"/>
  <c r="G29" i="14"/>
  <c r="M29" i="14" s="1"/>
  <c r="C8" i="14"/>
  <c r="I8" i="14" s="1"/>
  <c r="G33" i="14"/>
  <c r="M33" i="14" s="1"/>
  <c r="D25" i="14"/>
  <c r="J25" i="14" s="1"/>
  <c r="G10" i="14"/>
  <c r="M10" i="14" s="1"/>
  <c r="C37" i="14"/>
  <c r="G30" i="14"/>
  <c r="M30" i="14" s="1"/>
  <c r="F27" i="14"/>
  <c r="L27" i="14" s="1"/>
  <c r="C34" i="14"/>
  <c r="F30" i="14"/>
  <c r="L30" i="14" s="1"/>
  <c r="F26" i="14"/>
  <c r="L26" i="14" s="1"/>
  <c r="E36" i="14"/>
  <c r="K36" i="14" s="1"/>
  <c r="F32" i="14"/>
  <c r="L32" i="14" s="1"/>
  <c r="D24" i="14"/>
  <c r="J24" i="14" s="1"/>
  <c r="C12" i="14"/>
  <c r="E39" i="14"/>
  <c r="K39" i="14" s="1"/>
  <c r="D36" i="14"/>
  <c r="J36" i="14" s="1"/>
  <c r="E32" i="14"/>
  <c r="K32" i="14" s="1"/>
  <c r="F28" i="14"/>
  <c r="L28" i="14" s="1"/>
  <c r="E23" i="14"/>
  <c r="K23" i="14" s="1"/>
  <c r="F20" i="14"/>
  <c r="L20" i="14" s="1"/>
  <c r="D38" i="14"/>
  <c r="J38" i="14" s="1"/>
  <c r="C35" i="14"/>
  <c r="D32" i="14"/>
  <c r="J32" i="14" s="1"/>
  <c r="E28" i="14"/>
  <c r="K28" i="14" s="1"/>
  <c r="D26" i="14"/>
  <c r="J26" i="14" s="1"/>
  <c r="F24" i="14"/>
  <c r="L24" i="14" s="1"/>
  <c r="D22" i="14"/>
  <c r="J22" i="14" s="1"/>
  <c r="E20" i="14"/>
  <c r="K20" i="14" s="1"/>
  <c r="G12" i="14"/>
  <c r="M12" i="14" s="1"/>
  <c r="C38" i="14"/>
  <c r="F36" i="14"/>
  <c r="L36" i="14" s="1"/>
  <c r="G34" i="14"/>
  <c r="M34" i="14" s="1"/>
  <c r="C33" i="14"/>
  <c r="G31" i="14"/>
  <c r="M31" i="14" s="1"/>
  <c r="E29" i="14"/>
  <c r="K29" i="14" s="1"/>
  <c r="D28" i="14"/>
  <c r="J28" i="14" s="1"/>
  <c r="E25" i="14"/>
  <c r="K25" i="14" s="1"/>
  <c r="E24" i="14"/>
  <c r="K24" i="14" s="1"/>
  <c r="C22" i="14"/>
  <c r="D20" i="14"/>
  <c r="J20" i="14" s="1"/>
  <c r="D12" i="14"/>
  <c r="J12" i="14" s="1"/>
  <c r="E8" i="11"/>
  <c r="H8" i="11" s="1"/>
  <c r="F8" i="11"/>
  <c r="I8" i="11" s="1"/>
  <c r="E9" i="11"/>
  <c r="H9" i="11" s="1"/>
  <c r="F9" i="11"/>
  <c r="F10" i="11"/>
  <c r="I10" i="11" s="1"/>
  <c r="C11" i="14"/>
  <c r="G11" i="14"/>
  <c r="M11" i="14" s="1"/>
  <c r="E11" i="14"/>
  <c r="K11" i="14" s="1"/>
  <c r="F11" i="14"/>
  <c r="L11" i="14" s="1"/>
  <c r="C7" i="14"/>
  <c r="G7" i="14"/>
  <c r="M7" i="14" s="1"/>
  <c r="D7" i="14"/>
  <c r="J7" i="14" s="1"/>
  <c r="E7" i="14"/>
  <c r="K7" i="14" s="1"/>
  <c r="C39" i="14"/>
  <c r="G35" i="14"/>
  <c r="M35" i="14" s="1"/>
  <c r="F31" i="14"/>
  <c r="L31" i="14" s="1"/>
  <c r="E27" i="14"/>
  <c r="K27" i="14" s="1"/>
  <c r="C23" i="14"/>
  <c r="D10" i="14"/>
  <c r="J10" i="14" s="1"/>
  <c r="E10" i="14"/>
  <c r="K10" i="14" s="1"/>
  <c r="F10" i="14"/>
  <c r="L10" i="14" s="1"/>
  <c r="D6" i="14"/>
  <c r="J6" i="14" s="1"/>
  <c r="C6" i="14"/>
  <c r="I6" i="14" s="1"/>
  <c r="E6" i="14"/>
  <c r="K6" i="14" s="1"/>
  <c r="G39" i="14"/>
  <c r="M39" i="14" s="1"/>
  <c r="G38" i="14"/>
  <c r="M38" i="14" s="1"/>
  <c r="F35" i="14"/>
  <c r="L35" i="14" s="1"/>
  <c r="F34" i="14"/>
  <c r="L34" i="14" s="1"/>
  <c r="E31" i="14"/>
  <c r="K31" i="14" s="1"/>
  <c r="D30" i="14"/>
  <c r="C27" i="14"/>
  <c r="C26" i="14"/>
  <c r="G23" i="14"/>
  <c r="M23" i="14" s="1"/>
  <c r="G22" i="14"/>
  <c r="M22" i="14" s="1"/>
  <c r="F21" i="14"/>
  <c r="L21" i="14" s="1"/>
  <c r="C21" i="14"/>
  <c r="G21" i="14"/>
  <c r="M21" i="14" s="1"/>
  <c r="E13" i="14"/>
  <c r="K13" i="14" s="1"/>
  <c r="F13" i="14"/>
  <c r="L13" i="14" s="1"/>
  <c r="G13" i="14"/>
  <c r="M13" i="14" s="1"/>
  <c r="E9" i="14"/>
  <c r="K9" i="14" s="1"/>
  <c r="D9" i="14"/>
  <c r="J9" i="14" s="1"/>
  <c r="F9" i="14"/>
  <c r="L9" i="14" s="1"/>
  <c r="C5" i="14"/>
  <c r="I5" i="14" s="1"/>
  <c r="F39" i="14"/>
  <c r="L39" i="14" s="1"/>
  <c r="F38" i="14"/>
  <c r="L38" i="14" s="1"/>
  <c r="E37" i="14"/>
  <c r="K37" i="14" s="1"/>
  <c r="E35" i="14"/>
  <c r="K35" i="14" s="1"/>
  <c r="D34" i="14"/>
  <c r="D33" i="14"/>
  <c r="C31" i="14"/>
  <c r="C30" i="14"/>
  <c r="C29" i="14"/>
  <c r="G27" i="14"/>
  <c r="M27" i="14" s="1"/>
  <c r="G26" i="14"/>
  <c r="M26" i="14" s="1"/>
  <c r="G25" i="14"/>
  <c r="M25" i="14" s="1"/>
  <c r="F23" i="14"/>
  <c r="L23" i="14" s="1"/>
  <c r="F22" i="14"/>
  <c r="L22" i="14" s="1"/>
  <c r="D21" i="14"/>
  <c r="C13" i="14"/>
  <c r="D11" i="14"/>
  <c r="C9" i="14"/>
  <c r="I9" i="14" s="1"/>
  <c r="F7" i="14"/>
  <c r="L7" i="14" s="1"/>
  <c r="G36" i="14"/>
  <c r="M36" i="14" s="1"/>
  <c r="G32" i="14"/>
  <c r="M32" i="14" s="1"/>
  <c r="G28" i="14"/>
  <c r="M28" i="14" s="1"/>
  <c r="G24" i="14"/>
  <c r="M24" i="14" s="1"/>
  <c r="G20" i="14"/>
  <c r="M20" i="14" s="1"/>
  <c r="E12" i="14"/>
  <c r="K12" i="14" s="1"/>
  <c r="D8" i="14"/>
  <c r="D7" i="11"/>
  <c r="G7" i="11" s="1"/>
  <c r="E7" i="11"/>
  <c r="H7" i="11" s="1"/>
  <c r="D10" i="11"/>
  <c r="G10" i="11" l="1"/>
  <c r="J10" i="11" s="1"/>
  <c r="I9" i="11"/>
  <c r="J9" i="11" s="1"/>
  <c r="J8" i="14"/>
  <c r="N8" i="14" s="1"/>
  <c r="I7" i="14"/>
  <c r="N7" i="14" s="1"/>
  <c r="J11" i="14"/>
  <c r="I30" i="14"/>
  <c r="I13" i="14"/>
  <c r="J21" i="14"/>
  <c r="I31" i="14"/>
  <c r="I26" i="14"/>
  <c r="I23" i="14"/>
  <c r="I39" i="14"/>
  <c r="I11" i="14"/>
  <c r="I12" i="14"/>
  <c r="I24" i="14"/>
  <c r="I27" i="14"/>
  <c r="I22" i="14"/>
  <c r="I28" i="14"/>
  <c r="I25" i="14"/>
  <c r="J33" i="14"/>
  <c r="I29" i="14"/>
  <c r="J34" i="14"/>
  <c r="I21" i="14"/>
  <c r="J30" i="14"/>
  <c r="I38" i="14"/>
  <c r="I32" i="14"/>
  <c r="I33" i="14"/>
  <c r="I35" i="14"/>
  <c r="I34" i="14"/>
  <c r="I37" i="14"/>
  <c r="I20" i="14"/>
  <c r="I36" i="14"/>
  <c r="N10" i="14"/>
  <c r="J8" i="11"/>
  <c r="J7" i="11"/>
  <c r="N5" i="14"/>
  <c r="N9" i="14"/>
  <c r="N6" i="14"/>
  <c r="N24" i="14" l="1"/>
  <c r="N32" i="14"/>
  <c r="N30" i="15" s="1"/>
  <c r="I6" i="15"/>
  <c r="K10" i="11"/>
  <c r="K9" i="11"/>
  <c r="I5" i="15"/>
  <c r="N11" i="14"/>
  <c r="N9" i="15" s="1"/>
  <c r="N26" i="14"/>
  <c r="N27" i="14"/>
  <c r="N25" i="15" s="1"/>
  <c r="N5" i="15"/>
  <c r="N6" i="15"/>
  <c r="N35" i="14"/>
  <c r="N36" i="14"/>
  <c r="N34" i="15" s="1"/>
  <c r="N25" i="14"/>
  <c r="N31" i="14"/>
  <c r="N20" i="14"/>
  <c r="N33" i="14"/>
  <c r="N34" i="14"/>
  <c r="N23" i="14"/>
  <c r="N13" i="14"/>
  <c r="N11" i="15" s="1"/>
  <c r="N12" i="14"/>
  <c r="N10" i="15" s="1"/>
  <c r="N28" i="14"/>
  <c r="N30" i="14"/>
  <c r="N37" i="14"/>
  <c r="N21" i="14"/>
  <c r="N29" i="14"/>
  <c r="N39" i="14"/>
  <c r="N22" i="14"/>
  <c r="N20" i="15" s="1"/>
  <c r="N3" i="15"/>
  <c r="N4" i="15"/>
  <c r="N7" i="15"/>
  <c r="I3" i="15"/>
  <c r="I4" i="15"/>
  <c r="N8" i="15"/>
  <c r="N22" i="15"/>
  <c r="K8" i="11"/>
  <c r="K7" i="11"/>
  <c r="B31" i="13"/>
  <c r="I31" i="13" s="1"/>
  <c r="B32" i="13"/>
  <c r="H32" i="13" s="1"/>
  <c r="B33" i="13"/>
  <c r="B34" i="13"/>
  <c r="J34" i="13" s="1"/>
  <c r="B35" i="13"/>
  <c r="I35" i="13" s="1"/>
  <c r="B36" i="13"/>
  <c r="B37" i="13"/>
  <c r="B38" i="13"/>
  <c r="N29" i="15" l="1"/>
  <c r="N21" i="15"/>
  <c r="N36" i="15"/>
  <c r="N28" i="15"/>
  <c r="N24" i="15"/>
  <c r="N18" i="15"/>
  <c r="N33" i="15"/>
  <c r="N37" i="15"/>
  <c r="N26" i="15"/>
  <c r="N23" i="15"/>
  <c r="N31" i="15"/>
  <c r="N27" i="15"/>
  <c r="N19" i="15"/>
  <c r="N32" i="15"/>
  <c r="N35" i="15"/>
  <c r="O31" i="13"/>
  <c r="N34" i="13"/>
  <c r="O35" i="13"/>
  <c r="H31" i="13"/>
  <c r="M32" i="13"/>
  <c r="H35" i="13"/>
  <c r="K35" i="13"/>
  <c r="I37" i="13"/>
  <c r="J33" i="13"/>
  <c r="H37" i="13"/>
  <c r="I33" i="13"/>
  <c r="J35" i="13"/>
  <c r="N35" i="13" s="1"/>
  <c r="K31" i="13"/>
  <c r="K32" i="13"/>
  <c r="J38" i="13"/>
  <c r="I38" i="13"/>
  <c r="H36" i="13"/>
  <c r="K36" i="13"/>
  <c r="I34" i="13"/>
  <c r="J37" i="13"/>
  <c r="H33" i="13"/>
  <c r="J31" i="13"/>
  <c r="H38" i="13"/>
  <c r="J36" i="13"/>
  <c r="H34" i="13"/>
  <c r="J32" i="13"/>
  <c r="K38" i="13"/>
  <c r="I36" i="13"/>
  <c r="K34" i="13"/>
  <c r="I32" i="13"/>
  <c r="K37" i="13"/>
  <c r="K33" i="13"/>
  <c r="P34" i="13" l="1"/>
  <c r="O38" i="13"/>
  <c r="N33" i="13"/>
  <c r="M35" i="13"/>
  <c r="N32" i="13"/>
  <c r="M33" i="13"/>
  <c r="O34" i="13"/>
  <c r="P37" i="13"/>
  <c r="M34" i="13"/>
  <c r="P33" i="13"/>
  <c r="N31" i="13"/>
  <c r="P31" i="13"/>
  <c r="O36" i="13"/>
  <c r="P36" i="13"/>
  <c r="N38" i="13"/>
  <c r="O37" i="13"/>
  <c r="O32" i="13"/>
  <c r="N36" i="13"/>
  <c r="O33" i="13"/>
  <c r="P38" i="13"/>
  <c r="M38" i="13"/>
  <c r="N37" i="13"/>
  <c r="M36" i="13"/>
  <c r="P32" i="13"/>
  <c r="M37" i="13"/>
  <c r="P35" i="13"/>
  <c r="M31" i="13"/>
  <c r="B5" i="13"/>
  <c r="B6" i="13"/>
  <c r="B7" i="13"/>
  <c r="B8" i="13"/>
  <c r="B9" i="13"/>
  <c r="B10" i="13"/>
  <c r="B11" i="13"/>
  <c r="B12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4" i="13"/>
  <c r="Q38" i="13" l="1"/>
  <c r="S38" i="13" s="1"/>
  <c r="Q36" i="13"/>
  <c r="S36" i="13" s="1"/>
  <c r="Q34" i="13"/>
  <c r="S34" i="13" s="1"/>
  <c r="Q31" i="13"/>
  <c r="Q35" i="13"/>
  <c r="Q33" i="13"/>
  <c r="S33" i="13" s="1"/>
  <c r="Q32" i="13"/>
  <c r="Q37" i="13"/>
  <c r="S37" i="13" s="1"/>
  <c r="K9" i="13"/>
  <c r="P9" i="13" s="1"/>
  <c r="J9" i="13"/>
  <c r="N9" i="13" s="1"/>
  <c r="H9" i="13"/>
  <c r="M9" i="13" s="1"/>
  <c r="I9" i="13"/>
  <c r="O9" i="13" s="1"/>
  <c r="O35" i="15"/>
  <c r="I19" i="13"/>
  <c r="J19" i="13"/>
  <c r="K19" i="13"/>
  <c r="H19" i="13"/>
  <c r="J26" i="13"/>
  <c r="K26" i="13"/>
  <c r="H26" i="13"/>
  <c r="I26" i="13"/>
  <c r="K29" i="13"/>
  <c r="H29" i="13"/>
  <c r="I29" i="13"/>
  <c r="J29" i="13"/>
  <c r="K25" i="13"/>
  <c r="H25" i="13"/>
  <c r="I25" i="13"/>
  <c r="J25" i="13"/>
  <c r="K21" i="13"/>
  <c r="H21" i="13"/>
  <c r="I21" i="13"/>
  <c r="J21" i="13"/>
  <c r="I27" i="13"/>
  <c r="J27" i="13"/>
  <c r="K27" i="13"/>
  <c r="H27" i="13"/>
  <c r="I23" i="13"/>
  <c r="J23" i="13"/>
  <c r="K23" i="13"/>
  <c r="H23" i="13"/>
  <c r="I11" i="13"/>
  <c r="J11" i="13"/>
  <c r="K11" i="13"/>
  <c r="H11" i="13"/>
  <c r="J30" i="13"/>
  <c r="K30" i="13"/>
  <c r="H30" i="13"/>
  <c r="I30" i="13"/>
  <c r="J22" i="13"/>
  <c r="K22" i="13"/>
  <c r="H22" i="13"/>
  <c r="I22" i="13"/>
  <c r="J10" i="13"/>
  <c r="K10" i="13"/>
  <c r="I10" i="13"/>
  <c r="H10" i="13"/>
  <c r="H28" i="13"/>
  <c r="I28" i="13"/>
  <c r="J28" i="13"/>
  <c r="K28" i="13"/>
  <c r="H24" i="13"/>
  <c r="I24" i="13"/>
  <c r="J24" i="13"/>
  <c r="K24" i="13"/>
  <c r="H20" i="13"/>
  <c r="I20" i="13"/>
  <c r="J20" i="13"/>
  <c r="K20" i="13"/>
  <c r="H12" i="13"/>
  <c r="I12" i="13"/>
  <c r="J12" i="13"/>
  <c r="K12" i="13"/>
  <c r="S31" i="13" l="1"/>
  <c r="O30" i="15" s="1"/>
  <c r="S32" i="13"/>
  <c r="O31" i="15" s="1"/>
  <c r="O34" i="15"/>
  <c r="S35" i="13"/>
  <c r="O37" i="15"/>
  <c r="O33" i="15"/>
  <c r="O32" i="15"/>
  <c r="O36" i="15"/>
  <c r="O12" i="13"/>
  <c r="P12" i="13"/>
  <c r="O20" i="13"/>
  <c r="N24" i="13"/>
  <c r="P28" i="13"/>
  <c r="M10" i="13"/>
  <c r="N10" i="13"/>
  <c r="P22" i="13"/>
  <c r="M30" i="13"/>
  <c r="M11" i="13"/>
  <c r="O11" i="13"/>
  <c r="P27" i="13"/>
  <c r="M21" i="13"/>
  <c r="O25" i="13"/>
  <c r="N29" i="13"/>
  <c r="P26" i="13"/>
  <c r="P19" i="13"/>
  <c r="N12" i="13"/>
  <c r="P20" i="13"/>
  <c r="M20" i="13"/>
  <c r="O24" i="13"/>
  <c r="N28" i="13"/>
  <c r="P30" i="13"/>
  <c r="P11" i="13"/>
  <c r="N23" i="13"/>
  <c r="P21" i="13"/>
  <c r="M25" i="13"/>
  <c r="O29" i="13"/>
  <c r="M24" i="13"/>
  <c r="O28" i="13"/>
  <c r="O10" i="13"/>
  <c r="O22" i="13"/>
  <c r="N22" i="13"/>
  <c r="M23" i="13"/>
  <c r="O23" i="13"/>
  <c r="N27" i="13"/>
  <c r="N21" i="13"/>
  <c r="P25" i="13"/>
  <c r="M29" i="13"/>
  <c r="O26" i="13"/>
  <c r="N26" i="13"/>
  <c r="N19" i="13"/>
  <c r="M12" i="13"/>
  <c r="N20" i="13"/>
  <c r="P24" i="13"/>
  <c r="M28" i="13"/>
  <c r="P10" i="13"/>
  <c r="M22" i="13"/>
  <c r="O30" i="13"/>
  <c r="N30" i="13"/>
  <c r="N11" i="13"/>
  <c r="P23" i="13"/>
  <c r="M27" i="13"/>
  <c r="O27" i="13"/>
  <c r="O21" i="13"/>
  <c r="N25" i="13"/>
  <c r="P29" i="13"/>
  <c r="M26" i="13"/>
  <c r="M19" i="13"/>
  <c r="O19" i="13"/>
  <c r="Q12" i="13" l="1"/>
  <c r="Q11" i="13"/>
  <c r="Q27" i="13"/>
  <c r="S27" i="13" s="1"/>
  <c r="Q29" i="13"/>
  <c r="S29" i="13" s="1"/>
  <c r="Q10" i="13"/>
  <c r="S10" i="13" s="1"/>
  <c r="Q23" i="13"/>
  <c r="S23" i="13" s="1"/>
  <c r="Q22" i="13"/>
  <c r="S22" i="13" s="1"/>
  <c r="Q19" i="13"/>
  <c r="Q28" i="13"/>
  <c r="Q24" i="13"/>
  <c r="Q20" i="13"/>
  <c r="S20" i="13" s="1"/>
  <c r="Q26" i="13"/>
  <c r="Q30" i="13"/>
  <c r="Q25" i="13"/>
  <c r="S25" i="13" s="1"/>
  <c r="Q21" i="13"/>
  <c r="O28" i="15"/>
  <c r="Q9" i="13"/>
  <c r="S9" i="13" s="1"/>
  <c r="D23" i="10"/>
  <c r="M23" i="15" s="1"/>
  <c r="D31" i="10"/>
  <c r="M31" i="15" s="1"/>
  <c r="D27" i="10"/>
  <c r="M27" i="15" s="1"/>
  <c r="D19" i="10"/>
  <c r="M19" i="15" s="1"/>
  <c r="D11" i="10"/>
  <c r="M11" i="15" s="1"/>
  <c r="D33" i="10"/>
  <c r="M33" i="15" s="1"/>
  <c r="D29" i="10"/>
  <c r="M29" i="15" s="1"/>
  <c r="D25" i="10"/>
  <c r="M25" i="15" s="1"/>
  <c r="D21" i="10"/>
  <c r="M21" i="15" s="1"/>
  <c r="D10" i="10"/>
  <c r="M10" i="15" s="1"/>
  <c r="D30" i="10"/>
  <c r="M30" i="15" s="1"/>
  <c r="D26" i="10"/>
  <c r="M26" i="15" s="1"/>
  <c r="D22" i="10"/>
  <c r="M22" i="15" s="1"/>
  <c r="D18" i="10"/>
  <c r="M18" i="15" s="1"/>
  <c r="D32" i="10"/>
  <c r="M32" i="15" s="1"/>
  <c r="D28" i="10"/>
  <c r="M28" i="15" s="1"/>
  <c r="D24" i="10"/>
  <c r="M24" i="15" s="1"/>
  <c r="D20" i="10"/>
  <c r="M20" i="15" s="1"/>
  <c r="O18" i="15" l="1"/>
  <c r="S19" i="13"/>
  <c r="S21" i="13"/>
  <c r="O20" i="15" s="1"/>
  <c r="O23" i="15"/>
  <c r="S24" i="13"/>
  <c r="S11" i="13"/>
  <c r="O10" i="15" s="1"/>
  <c r="S26" i="13"/>
  <c r="O25" i="15" s="1"/>
  <c r="S30" i="13"/>
  <c r="O29" i="15" s="1"/>
  <c r="S28" i="13"/>
  <c r="O27" i="15" s="1"/>
  <c r="S12" i="13"/>
  <c r="O11" i="15" s="1"/>
  <c r="O9" i="15"/>
  <c r="O21" i="15"/>
  <c r="O26" i="15"/>
  <c r="O22" i="15"/>
  <c r="O19" i="15"/>
  <c r="O24" i="15"/>
  <c r="O8" i="15"/>
  <c r="D9" i="10"/>
  <c r="M9" i="15" s="1"/>
  <c r="B11" i="12" l="1"/>
  <c r="C11" i="12" s="1"/>
  <c r="B10" i="12"/>
  <c r="C10" i="12" s="1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10" i="12"/>
  <c r="C4" i="12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1" i="11"/>
  <c r="H37" i="8"/>
  <c r="H38" i="8" s="1"/>
  <c r="H39" i="8" s="1"/>
  <c r="H40" i="8" s="1"/>
  <c r="H41" i="8" s="1"/>
  <c r="E36" i="8"/>
  <c r="G36" i="8"/>
  <c r="G37" i="8" s="1"/>
  <c r="H36" i="8"/>
  <c r="D36" i="8"/>
  <c r="C12" i="11"/>
  <c r="E12" i="11" s="1"/>
  <c r="C11" i="11"/>
  <c r="F11" i="11" s="1"/>
  <c r="I11" i="11" s="1"/>
  <c r="O42" i="8"/>
  <c r="I42" i="8"/>
  <c r="F29" i="8"/>
  <c r="C2" i="8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G38" i="8" l="1"/>
  <c r="AF34" i="7"/>
  <c r="F30" i="8"/>
  <c r="AE27" i="7" s="1"/>
  <c r="AE26" i="7"/>
  <c r="D37" i="8"/>
  <c r="AC33" i="7"/>
  <c r="E37" i="8"/>
  <c r="AD33" i="7"/>
  <c r="AD7" i="7"/>
  <c r="AD4" i="7"/>
  <c r="AC6" i="7"/>
  <c r="AD13" i="7"/>
  <c r="AE12" i="7"/>
  <c r="AC8" i="7"/>
  <c r="AE8" i="7"/>
  <c r="AD15" i="7"/>
  <c r="AD11" i="7"/>
  <c r="AF7" i="7"/>
  <c r="AF4" i="7"/>
  <c r="AF13" i="7"/>
  <c r="AF12" i="7"/>
  <c r="AC5" i="7"/>
  <c r="AE5" i="7"/>
  <c r="AE7" i="7"/>
  <c r="AF14" i="7"/>
  <c r="AE10" i="7"/>
  <c r="AE4" i="7"/>
  <c r="AD6" i="7"/>
  <c r="AC13" i="7"/>
  <c r="AF9" i="7"/>
  <c r="AD9" i="7"/>
  <c r="AC12" i="7"/>
  <c r="AC15" i="7"/>
  <c r="AF15" i="7"/>
  <c r="AC11" i="7"/>
  <c r="AF11" i="7"/>
  <c r="AD5" i="7"/>
  <c r="AD14" i="7"/>
  <c r="AC4" i="7"/>
  <c r="AG4" i="7" s="1"/>
  <c r="H3" i="15" s="1"/>
  <c r="AE6" i="7"/>
  <c r="AE9" i="7"/>
  <c r="AF8" i="7"/>
  <c r="AC7" i="7"/>
  <c r="AE14" i="7"/>
  <c r="AC14" i="7"/>
  <c r="AC10" i="7"/>
  <c r="AF10" i="7"/>
  <c r="AE13" i="7"/>
  <c r="AD8" i="7"/>
  <c r="AE15" i="7"/>
  <c r="AE11" i="7"/>
  <c r="AF5" i="7"/>
  <c r="AD10" i="7"/>
  <c r="AF6" i="7"/>
  <c r="AC9" i="7"/>
  <c r="AG9" i="7" s="1"/>
  <c r="H8" i="15" s="1"/>
  <c r="AD12" i="7"/>
  <c r="AE16" i="7"/>
  <c r="AC16" i="7"/>
  <c r="AD16" i="7"/>
  <c r="AF16" i="7"/>
  <c r="AF17" i="7"/>
  <c r="AD17" i="7"/>
  <c r="AE17" i="7"/>
  <c r="AC17" i="7"/>
  <c r="AG17" i="7" s="1"/>
  <c r="H16" i="15" s="1"/>
  <c r="AC18" i="7"/>
  <c r="AE18" i="7"/>
  <c r="AD18" i="7"/>
  <c r="AF18" i="7"/>
  <c r="AE19" i="7"/>
  <c r="AD19" i="7"/>
  <c r="AC19" i="7"/>
  <c r="AF19" i="7"/>
  <c r="AE20" i="7"/>
  <c r="AF20" i="7"/>
  <c r="AC20" i="7"/>
  <c r="AD20" i="7"/>
  <c r="AD21" i="7"/>
  <c r="AF21" i="7"/>
  <c r="AE21" i="7"/>
  <c r="AC21" i="7"/>
  <c r="AG21" i="7" s="1"/>
  <c r="H20" i="15" s="1"/>
  <c r="AE22" i="7"/>
  <c r="AF22" i="7"/>
  <c r="AD22" i="7"/>
  <c r="AC22" i="7"/>
  <c r="AG22" i="7" s="1"/>
  <c r="H21" i="15" s="1"/>
  <c r="AD23" i="7"/>
  <c r="AC23" i="7"/>
  <c r="AF23" i="7"/>
  <c r="AE23" i="7"/>
  <c r="AE24" i="7"/>
  <c r="AF24" i="7"/>
  <c r="AD24" i="7"/>
  <c r="AC24" i="7"/>
  <c r="AG24" i="7" s="1"/>
  <c r="H23" i="15" s="1"/>
  <c r="AD25" i="7"/>
  <c r="AE25" i="7"/>
  <c r="AF25" i="7"/>
  <c r="AC25" i="7"/>
  <c r="AG25" i="7" s="1"/>
  <c r="H24" i="15" s="1"/>
  <c r="AD26" i="7"/>
  <c r="AC26" i="7"/>
  <c r="AF26" i="7"/>
  <c r="AF27" i="7"/>
  <c r="AC27" i="7"/>
  <c r="AD27" i="7"/>
  <c r="AF28" i="7"/>
  <c r="AC28" i="7"/>
  <c r="AG28" i="7" s="1"/>
  <c r="H27" i="15" s="1"/>
  <c r="AD28" i="7"/>
  <c r="AC29" i="7"/>
  <c r="AD29" i="7"/>
  <c r="AF29" i="7"/>
  <c r="AF30" i="7"/>
  <c r="AC30" i="7"/>
  <c r="AD30" i="7"/>
  <c r="AC31" i="7"/>
  <c r="AF31" i="7"/>
  <c r="AD31" i="7"/>
  <c r="AD32" i="7"/>
  <c r="AF32" i="7"/>
  <c r="AC32" i="7"/>
  <c r="AF33" i="7"/>
  <c r="AP5" i="7"/>
  <c r="AP14" i="7"/>
  <c r="AP13" i="7"/>
  <c r="AP9" i="7"/>
  <c r="AP8" i="7"/>
  <c r="AP15" i="7"/>
  <c r="AP6" i="7"/>
  <c r="AP7" i="7"/>
  <c r="AP12" i="7"/>
  <c r="AP11" i="7"/>
  <c r="AP10" i="7"/>
  <c r="AP4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H12" i="11"/>
  <c r="A5" i="14"/>
  <c r="A4" i="13"/>
  <c r="A9" i="14"/>
  <c r="A8" i="13"/>
  <c r="A13" i="14"/>
  <c r="A12" i="13"/>
  <c r="A17" i="14"/>
  <c r="A16" i="13"/>
  <c r="A21" i="14"/>
  <c r="A20" i="13"/>
  <c r="A25" i="14"/>
  <c r="A24" i="13"/>
  <c r="A29" i="14"/>
  <c r="A28" i="13"/>
  <c r="A33" i="14"/>
  <c r="A32" i="13"/>
  <c r="A37" i="14"/>
  <c r="A36" i="13"/>
  <c r="A6" i="14"/>
  <c r="A5" i="13"/>
  <c r="A10" i="14"/>
  <c r="A9" i="13"/>
  <c r="A14" i="14"/>
  <c r="A13" i="13"/>
  <c r="A18" i="14"/>
  <c r="A17" i="13"/>
  <c r="A22" i="14"/>
  <c r="A21" i="13"/>
  <c r="A26" i="14"/>
  <c r="A25" i="13"/>
  <c r="A30" i="14"/>
  <c r="A29" i="13"/>
  <c r="A34" i="14"/>
  <c r="A33" i="13"/>
  <c r="A38" i="14"/>
  <c r="A37" i="13"/>
  <c r="A7" i="14"/>
  <c r="A6" i="13"/>
  <c r="A11" i="14"/>
  <c r="A10" i="13"/>
  <c r="A15" i="14"/>
  <c r="A14" i="13"/>
  <c r="A19" i="14"/>
  <c r="A18" i="13"/>
  <c r="A23" i="14"/>
  <c r="A22" i="13"/>
  <c r="A27" i="14"/>
  <c r="A26" i="13"/>
  <c r="A31" i="14"/>
  <c r="A30" i="13"/>
  <c r="A35" i="14"/>
  <c r="A34" i="13"/>
  <c r="A39" i="14"/>
  <c r="A38" i="13"/>
  <c r="A8" i="14"/>
  <c r="A7" i="13"/>
  <c r="A12" i="14"/>
  <c r="A11" i="13"/>
  <c r="A16" i="14"/>
  <c r="A15" i="13"/>
  <c r="A20" i="14"/>
  <c r="A19" i="13"/>
  <c r="A24" i="14"/>
  <c r="A23" i="13"/>
  <c r="A28" i="14"/>
  <c r="A27" i="13"/>
  <c r="A32" i="14"/>
  <c r="A31" i="13"/>
  <c r="A36" i="14"/>
  <c r="A35" i="13"/>
  <c r="E11" i="11"/>
  <c r="H11" i="11" s="1"/>
  <c r="D11" i="11"/>
  <c r="D12" i="11"/>
  <c r="G12" i="11" s="1"/>
  <c r="F12" i="11"/>
  <c r="I12" i="11" s="1"/>
  <c r="F31" i="8"/>
  <c r="AE28" i="7" s="1"/>
  <c r="AG20" i="7" l="1"/>
  <c r="H19" i="15" s="1"/>
  <c r="AG19" i="7"/>
  <c r="H18" i="15" s="1"/>
  <c r="AG7" i="7"/>
  <c r="H6" i="15" s="1"/>
  <c r="AG11" i="7"/>
  <c r="H10" i="15" s="1"/>
  <c r="AG6" i="7"/>
  <c r="H5" i="15" s="1"/>
  <c r="E38" i="8"/>
  <c r="AD34" i="7"/>
  <c r="AG12" i="7"/>
  <c r="H11" i="15" s="1"/>
  <c r="AG29" i="7"/>
  <c r="H28" i="15" s="1"/>
  <c r="AG26" i="7"/>
  <c r="H25" i="15" s="1"/>
  <c r="AG23" i="7"/>
  <c r="H22" i="15" s="1"/>
  <c r="AG16" i="7"/>
  <c r="H15" i="15" s="1"/>
  <c r="AG10" i="7"/>
  <c r="H9" i="15" s="1"/>
  <c r="AG5" i="7"/>
  <c r="H4" i="15" s="1"/>
  <c r="AG8" i="7"/>
  <c r="H7" i="15" s="1"/>
  <c r="AG27" i="7"/>
  <c r="H26" i="15" s="1"/>
  <c r="AG18" i="7"/>
  <c r="H17" i="15" s="1"/>
  <c r="AG14" i="7"/>
  <c r="H13" i="15" s="1"/>
  <c r="AG15" i="7"/>
  <c r="H14" i="15" s="1"/>
  <c r="AG13" i="7"/>
  <c r="H12" i="15" s="1"/>
  <c r="D38" i="8"/>
  <c r="AC34" i="7"/>
  <c r="G39" i="8"/>
  <c r="AF35" i="7"/>
  <c r="L31" i="15"/>
  <c r="L15" i="15"/>
  <c r="L34" i="15"/>
  <c r="L30" i="15"/>
  <c r="L26" i="15"/>
  <c r="L22" i="15"/>
  <c r="L18" i="15"/>
  <c r="L3" i="15"/>
  <c r="L6" i="15"/>
  <c r="L8" i="15"/>
  <c r="L27" i="15"/>
  <c r="L19" i="15"/>
  <c r="L37" i="15"/>
  <c r="L33" i="15"/>
  <c r="L29" i="15"/>
  <c r="L25" i="15"/>
  <c r="L21" i="15"/>
  <c r="L17" i="15"/>
  <c r="L9" i="15"/>
  <c r="L5" i="15"/>
  <c r="L12" i="15"/>
  <c r="L36" i="15"/>
  <c r="L32" i="15"/>
  <c r="L28" i="15"/>
  <c r="L24" i="15"/>
  <c r="L20" i="15"/>
  <c r="L16" i="15"/>
  <c r="L10" i="15"/>
  <c r="L14" i="15"/>
  <c r="L13" i="15"/>
  <c r="L35" i="15"/>
  <c r="L23" i="15"/>
  <c r="L11" i="15"/>
  <c r="L7" i="15"/>
  <c r="L4" i="15"/>
  <c r="G11" i="11"/>
  <c r="J11" i="11" s="1"/>
  <c r="K5" i="15"/>
  <c r="K6" i="15"/>
  <c r="K4" i="15"/>
  <c r="K7" i="15"/>
  <c r="K3" i="15"/>
  <c r="K8" i="15"/>
  <c r="J12" i="11"/>
  <c r="D34" i="10"/>
  <c r="M34" i="15" s="1"/>
  <c r="F32" i="8"/>
  <c r="AE29" i="7" s="1"/>
  <c r="E39" i="8" l="1"/>
  <c r="AD35" i="7"/>
  <c r="G40" i="8"/>
  <c r="AF36" i="7"/>
  <c r="D39" i="8"/>
  <c r="AC35" i="7"/>
  <c r="L38" i="15"/>
  <c r="K11" i="11"/>
  <c r="I7" i="15"/>
  <c r="I8" i="15"/>
  <c r="K12" i="11"/>
  <c r="D35" i="10"/>
  <c r="M35" i="15" s="1"/>
  <c r="F33" i="8"/>
  <c r="AE30" i="7" s="1"/>
  <c r="AG30" i="7" s="1"/>
  <c r="H29" i="15" s="1"/>
  <c r="E40" i="8" l="1"/>
  <c r="AD36" i="7"/>
  <c r="D40" i="8"/>
  <c r="AC36" i="7"/>
  <c r="G41" i="8"/>
  <c r="AF38" i="7" s="1"/>
  <c r="AF37" i="7"/>
  <c r="D36" i="10"/>
  <c r="M36" i="15" s="1"/>
  <c r="F34" i="8"/>
  <c r="AE31" i="7" s="1"/>
  <c r="AG31" i="7" s="1"/>
  <c r="H30" i="15" s="1"/>
  <c r="E41" i="8" l="1"/>
  <c r="AD38" i="7" s="1"/>
  <c r="AD37" i="7"/>
  <c r="D41" i="8"/>
  <c r="AC38" i="7" s="1"/>
  <c r="AC37" i="7"/>
  <c r="D37" i="10"/>
  <c r="M37" i="15" s="1"/>
  <c r="F35" i="8"/>
  <c r="F36" i="8" l="1"/>
  <c r="AE32" i="7"/>
  <c r="AG32" i="7" s="1"/>
  <c r="H31" i="15" s="1"/>
  <c r="C11" i="8"/>
  <c r="C12" i="8"/>
  <c r="B38" i="8"/>
  <c r="B39" i="8"/>
  <c r="B40" i="8"/>
  <c r="B41" i="8"/>
  <c r="B34" i="8"/>
  <c r="B35" i="8"/>
  <c r="B36" i="8"/>
  <c r="B37" i="8"/>
  <c r="B27" i="8"/>
  <c r="B28" i="8"/>
  <c r="B29" i="8"/>
  <c r="B30" i="8"/>
  <c r="B31" i="8"/>
  <c r="B32" i="8"/>
  <c r="B33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F37" i="8" l="1"/>
  <c r="AE33" i="7"/>
  <c r="AG33" i="7" s="1"/>
  <c r="H32" i="15" s="1"/>
  <c r="B35" i="12"/>
  <c r="B31" i="12"/>
  <c r="B34" i="12"/>
  <c r="B30" i="12"/>
  <c r="B26" i="12"/>
  <c r="B22" i="12"/>
  <c r="B14" i="12"/>
  <c r="C14" i="12" s="1"/>
  <c r="C28" i="8"/>
  <c r="M28" i="8" s="1"/>
  <c r="B27" i="12"/>
  <c r="C27" i="12" s="1"/>
  <c r="C24" i="8"/>
  <c r="N24" i="8" s="1"/>
  <c r="B23" i="12"/>
  <c r="C23" i="12" s="1"/>
  <c r="C29" i="8"/>
  <c r="N29" i="8" s="1"/>
  <c r="B28" i="12"/>
  <c r="C28" i="12" s="1"/>
  <c r="C34" i="8"/>
  <c r="K34" i="8" s="1"/>
  <c r="B33" i="12"/>
  <c r="C33" i="12" s="1"/>
  <c r="C26" i="8"/>
  <c r="N26" i="8" s="1"/>
  <c r="B25" i="12"/>
  <c r="C25" i="12" s="1"/>
  <c r="C22" i="8"/>
  <c r="J22" i="8" s="1"/>
  <c r="B21" i="12"/>
  <c r="C21" i="12" s="1"/>
  <c r="C14" i="8"/>
  <c r="K14" i="8" s="1"/>
  <c r="B13" i="12"/>
  <c r="C13" i="12" s="1"/>
  <c r="C30" i="8"/>
  <c r="K30" i="8" s="1"/>
  <c r="B29" i="12"/>
  <c r="C29" i="12" s="1"/>
  <c r="C33" i="8"/>
  <c r="K33" i="8" s="1"/>
  <c r="B32" i="12"/>
  <c r="C32" i="12" s="1"/>
  <c r="C25" i="8"/>
  <c r="K25" i="8" s="1"/>
  <c r="B24" i="12"/>
  <c r="C24" i="12" s="1"/>
  <c r="C32" i="11"/>
  <c r="C33" i="11"/>
  <c r="C29" i="11"/>
  <c r="C25" i="11"/>
  <c r="C36" i="11"/>
  <c r="C14" i="11"/>
  <c r="C35" i="11"/>
  <c r="C31" i="11"/>
  <c r="C27" i="11"/>
  <c r="C23" i="11"/>
  <c r="C15" i="11"/>
  <c r="C36" i="8"/>
  <c r="C32" i="8"/>
  <c r="K12" i="8"/>
  <c r="M12" i="8"/>
  <c r="J12" i="8"/>
  <c r="L12" i="8"/>
  <c r="N12" i="8"/>
  <c r="C28" i="11"/>
  <c r="C24" i="11"/>
  <c r="C34" i="11"/>
  <c r="C30" i="11"/>
  <c r="C26" i="11"/>
  <c r="C22" i="11"/>
  <c r="C35" i="8"/>
  <c r="C31" i="8"/>
  <c r="C27" i="8"/>
  <c r="C23" i="8"/>
  <c r="C15" i="8"/>
  <c r="K11" i="8"/>
  <c r="Q11" i="8" s="1"/>
  <c r="N11" i="8"/>
  <c r="M11" i="8"/>
  <c r="S11" i="8" s="1"/>
  <c r="J11" i="8"/>
  <c r="P11" i="8" s="1"/>
  <c r="L11" i="8"/>
  <c r="R11" i="8" s="1"/>
  <c r="F38" i="8" l="1"/>
  <c r="AE34" i="7"/>
  <c r="AG34" i="7" s="1"/>
  <c r="H33" i="15" s="1"/>
  <c r="C30" i="12"/>
  <c r="K27" i="15" s="1"/>
  <c r="C34" i="12"/>
  <c r="K31" i="15" s="1"/>
  <c r="C22" i="12"/>
  <c r="K19" i="15" s="1"/>
  <c r="C31" i="12"/>
  <c r="K28" i="15" s="1"/>
  <c r="C26" i="12"/>
  <c r="K23" i="15" s="1"/>
  <c r="C35" i="12"/>
  <c r="K32" i="15" s="1"/>
  <c r="Q30" i="8"/>
  <c r="Q12" i="8"/>
  <c r="Q33" i="8"/>
  <c r="Q14" i="8"/>
  <c r="Q34" i="8"/>
  <c r="Q25" i="8"/>
  <c r="E8" i="15"/>
  <c r="E4" i="15"/>
  <c r="E6" i="15"/>
  <c r="E5" i="15"/>
  <c r="E7" i="15"/>
  <c r="E3" i="15"/>
  <c r="S12" i="8"/>
  <c r="P22" i="8"/>
  <c r="S28" i="8"/>
  <c r="R12" i="8"/>
  <c r="B12" i="12"/>
  <c r="K11" i="15"/>
  <c r="P12" i="8"/>
  <c r="E22" i="15"/>
  <c r="K29" i="15"/>
  <c r="E29" i="15"/>
  <c r="E24" i="15"/>
  <c r="K18" i="15"/>
  <c r="K25" i="15"/>
  <c r="E31" i="15"/>
  <c r="E18" i="15"/>
  <c r="E26" i="15"/>
  <c r="E20" i="15"/>
  <c r="E34" i="15"/>
  <c r="K21" i="15"/>
  <c r="K26" i="15"/>
  <c r="K22" i="15"/>
  <c r="K20" i="15"/>
  <c r="E30" i="15"/>
  <c r="K30" i="15"/>
  <c r="K24" i="15"/>
  <c r="E23" i="15"/>
  <c r="E21" i="15"/>
  <c r="E28" i="15"/>
  <c r="E19" i="15"/>
  <c r="E27" i="15"/>
  <c r="E32" i="15"/>
  <c r="E25" i="15"/>
  <c r="E33" i="15"/>
  <c r="E11" i="15"/>
  <c r="E10" i="15"/>
  <c r="K10" i="15"/>
  <c r="M24" i="8"/>
  <c r="C38" i="8"/>
  <c r="N38" i="8" s="1"/>
  <c r="K22" i="8"/>
  <c r="L33" i="8"/>
  <c r="M33" i="8"/>
  <c r="M34" i="8"/>
  <c r="C37" i="11"/>
  <c r="D37" i="11" s="1"/>
  <c r="L24" i="8"/>
  <c r="L25" i="8"/>
  <c r="M14" i="8"/>
  <c r="N22" i="8"/>
  <c r="C13" i="8"/>
  <c r="J13" i="8" s="1"/>
  <c r="C13" i="11"/>
  <c r="J30" i="8"/>
  <c r="K29" i="8"/>
  <c r="J14" i="8"/>
  <c r="N28" i="8"/>
  <c r="M29" i="8"/>
  <c r="J33" i="8"/>
  <c r="N14" i="8"/>
  <c r="K28" i="8"/>
  <c r="L22" i="8"/>
  <c r="N34" i="8"/>
  <c r="J29" i="8"/>
  <c r="N33" i="8"/>
  <c r="L14" i="8"/>
  <c r="L28" i="8"/>
  <c r="M22" i="8"/>
  <c r="J34" i="8"/>
  <c r="L29" i="8"/>
  <c r="M26" i="8"/>
  <c r="J28" i="8"/>
  <c r="L34" i="8"/>
  <c r="N25" i="8"/>
  <c r="L26" i="8"/>
  <c r="K24" i="8"/>
  <c r="L30" i="8"/>
  <c r="M30" i="8"/>
  <c r="J25" i="8"/>
  <c r="M25" i="8"/>
  <c r="J26" i="8"/>
  <c r="J24" i="8"/>
  <c r="N30" i="8"/>
  <c r="K26" i="8"/>
  <c r="C38" i="11"/>
  <c r="D38" i="11" s="1"/>
  <c r="B37" i="12"/>
  <c r="C37" i="12" s="1"/>
  <c r="C37" i="8"/>
  <c r="B36" i="12"/>
  <c r="C36" i="12" s="1"/>
  <c r="L23" i="8"/>
  <c r="K23" i="8"/>
  <c r="N23" i="8"/>
  <c r="J23" i="8"/>
  <c r="M23" i="8"/>
  <c r="E27" i="11"/>
  <c r="F27" i="11"/>
  <c r="D27" i="11"/>
  <c r="E35" i="11"/>
  <c r="F35" i="11"/>
  <c r="D35" i="11"/>
  <c r="E14" i="11"/>
  <c r="D14" i="11"/>
  <c r="F14" i="11"/>
  <c r="L27" i="8"/>
  <c r="K27" i="8"/>
  <c r="J27" i="8"/>
  <c r="N27" i="8"/>
  <c r="M27" i="8"/>
  <c r="E28" i="11"/>
  <c r="D28" i="11"/>
  <c r="F28" i="11"/>
  <c r="K36" i="8"/>
  <c r="N36" i="8"/>
  <c r="J36" i="8"/>
  <c r="L36" i="8"/>
  <c r="M36" i="8"/>
  <c r="E25" i="11"/>
  <c r="F25" i="11"/>
  <c r="D25" i="11"/>
  <c r="E33" i="11"/>
  <c r="F33" i="11"/>
  <c r="D33" i="11"/>
  <c r="F30" i="11"/>
  <c r="E30" i="11"/>
  <c r="D30" i="11"/>
  <c r="K15" i="8"/>
  <c r="M15" i="8"/>
  <c r="N15" i="8"/>
  <c r="L15" i="8"/>
  <c r="J15" i="8"/>
  <c r="J31" i="8"/>
  <c r="N31" i="8"/>
  <c r="K31" i="8"/>
  <c r="M31" i="8"/>
  <c r="L31" i="8"/>
  <c r="E26" i="11"/>
  <c r="F26" i="11"/>
  <c r="D26" i="11"/>
  <c r="E34" i="11"/>
  <c r="F34" i="11"/>
  <c r="D34" i="11"/>
  <c r="D15" i="11"/>
  <c r="F15" i="11"/>
  <c r="E15" i="11"/>
  <c r="E23" i="11"/>
  <c r="F23" i="11"/>
  <c r="D23" i="11"/>
  <c r="E31" i="11"/>
  <c r="F31" i="11"/>
  <c r="D31" i="11"/>
  <c r="E36" i="11"/>
  <c r="D36" i="11"/>
  <c r="F36" i="11"/>
  <c r="E22" i="11"/>
  <c r="F22" i="11"/>
  <c r="D22" i="11"/>
  <c r="M32" i="8"/>
  <c r="K32" i="8"/>
  <c r="N32" i="8"/>
  <c r="J32" i="8"/>
  <c r="L32" i="8"/>
  <c r="E32" i="11"/>
  <c r="D32" i="11"/>
  <c r="F32" i="11"/>
  <c r="N35" i="8"/>
  <c r="M35" i="8"/>
  <c r="J35" i="8"/>
  <c r="K35" i="8"/>
  <c r="L35" i="8"/>
  <c r="E24" i="11"/>
  <c r="D24" i="11"/>
  <c r="F24" i="11"/>
  <c r="E29" i="11"/>
  <c r="F29" i="11"/>
  <c r="D29" i="11"/>
  <c r="F39" i="8" l="1"/>
  <c r="AE35" i="7"/>
  <c r="AG35" i="7" s="1"/>
  <c r="H34" i="15" s="1"/>
  <c r="C12" i="12"/>
  <c r="K9" i="15" s="1"/>
  <c r="Q31" i="8"/>
  <c r="Q35" i="8"/>
  <c r="Q27" i="8"/>
  <c r="Q28" i="8"/>
  <c r="Q29" i="8"/>
  <c r="Q22" i="8"/>
  <c r="Q32" i="8"/>
  <c r="Q36" i="8"/>
  <c r="Q26" i="8"/>
  <c r="Q15" i="8"/>
  <c r="Q23" i="8"/>
  <c r="Q24" i="8"/>
  <c r="T12" i="8"/>
  <c r="M38" i="8"/>
  <c r="S38" i="8" s="1"/>
  <c r="H29" i="11"/>
  <c r="S35" i="8"/>
  <c r="G29" i="11"/>
  <c r="I24" i="11"/>
  <c r="R32" i="8"/>
  <c r="S32" i="8"/>
  <c r="G36" i="11"/>
  <c r="H31" i="11"/>
  <c r="H15" i="11"/>
  <c r="G34" i="11"/>
  <c r="I26" i="11"/>
  <c r="G33" i="11"/>
  <c r="I25" i="11"/>
  <c r="H28" i="11"/>
  <c r="G14" i="11"/>
  <c r="H35" i="11"/>
  <c r="S23" i="8"/>
  <c r="R23" i="8"/>
  <c r="P26" i="8"/>
  <c r="R34" i="8"/>
  <c r="R29" i="8"/>
  <c r="R14" i="8"/>
  <c r="P33" i="8"/>
  <c r="R25" i="8"/>
  <c r="S33" i="8"/>
  <c r="S24" i="8"/>
  <c r="I29" i="11"/>
  <c r="G24" i="11"/>
  <c r="P35" i="8"/>
  <c r="I32" i="11"/>
  <c r="P32" i="8"/>
  <c r="G22" i="11"/>
  <c r="H36" i="11"/>
  <c r="G23" i="11"/>
  <c r="I15" i="11"/>
  <c r="I34" i="11"/>
  <c r="H26" i="11"/>
  <c r="R31" i="8"/>
  <c r="P31" i="8"/>
  <c r="S15" i="8"/>
  <c r="G30" i="11"/>
  <c r="I33" i="11"/>
  <c r="H25" i="11"/>
  <c r="S36" i="8"/>
  <c r="S27" i="8"/>
  <c r="R27" i="8"/>
  <c r="H14" i="11"/>
  <c r="G27" i="11"/>
  <c r="P23" i="8"/>
  <c r="B38" i="12"/>
  <c r="C38" i="12" s="1"/>
  <c r="R26" i="8"/>
  <c r="P28" i="8"/>
  <c r="P34" i="8"/>
  <c r="R22" i="8"/>
  <c r="S29" i="8"/>
  <c r="P14" i="8"/>
  <c r="P13" i="8"/>
  <c r="R24" i="8"/>
  <c r="R33" i="8"/>
  <c r="G32" i="11"/>
  <c r="I22" i="11"/>
  <c r="G31" i="11"/>
  <c r="I23" i="11"/>
  <c r="G15" i="11"/>
  <c r="H34" i="11"/>
  <c r="S31" i="8"/>
  <c r="P15" i="8"/>
  <c r="H30" i="11"/>
  <c r="H33" i="11"/>
  <c r="R36" i="8"/>
  <c r="I28" i="11"/>
  <c r="G35" i="11"/>
  <c r="I27" i="11"/>
  <c r="G38" i="11"/>
  <c r="S25" i="8"/>
  <c r="S30" i="8"/>
  <c r="S26" i="8"/>
  <c r="S22" i="8"/>
  <c r="P29" i="8"/>
  <c r="G37" i="11"/>
  <c r="H24" i="11"/>
  <c r="R35" i="8"/>
  <c r="H32" i="11"/>
  <c r="H22" i="11"/>
  <c r="I36" i="11"/>
  <c r="I31" i="11"/>
  <c r="H23" i="11"/>
  <c r="G26" i="11"/>
  <c r="R15" i="8"/>
  <c r="I30" i="11"/>
  <c r="G25" i="11"/>
  <c r="P36" i="8"/>
  <c r="G28" i="11"/>
  <c r="P27" i="8"/>
  <c r="I14" i="11"/>
  <c r="I35" i="11"/>
  <c r="H27" i="11"/>
  <c r="P24" i="8"/>
  <c r="P25" i="8"/>
  <c r="R30" i="8"/>
  <c r="R28" i="8"/>
  <c r="P30" i="8"/>
  <c r="S14" i="8"/>
  <c r="S34" i="8"/>
  <c r="K33" i="15"/>
  <c r="E37" i="15"/>
  <c r="K34" i="15"/>
  <c r="E9" i="15"/>
  <c r="L13" i="8"/>
  <c r="M13" i="8"/>
  <c r="K38" i="8"/>
  <c r="K13" i="8"/>
  <c r="J38" i="8"/>
  <c r="F37" i="11"/>
  <c r="N13" i="8"/>
  <c r="L38" i="8"/>
  <c r="E37" i="11"/>
  <c r="E38" i="11"/>
  <c r="F38" i="11"/>
  <c r="D13" i="11"/>
  <c r="G13" i="11" s="1"/>
  <c r="F13" i="11"/>
  <c r="I13" i="11" s="1"/>
  <c r="E13" i="11"/>
  <c r="L37" i="8"/>
  <c r="N37" i="8"/>
  <c r="K37" i="8"/>
  <c r="M37" i="8"/>
  <c r="J37" i="8"/>
  <c r="C39" i="8"/>
  <c r="C39" i="11"/>
  <c r="T11" i="8"/>
  <c r="C9" i="6"/>
  <c r="J4" i="4" s="1"/>
  <c r="D4" i="3" s="1"/>
  <c r="C10" i="6"/>
  <c r="F5" i="1" s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D36" i="12" s="1"/>
  <c r="K33" i="3" s="1"/>
  <c r="C39" i="6"/>
  <c r="D37" i="12" s="1"/>
  <c r="K34" i="3" s="1"/>
  <c r="C40" i="6"/>
  <c r="C41" i="6"/>
  <c r="C42" i="6"/>
  <c r="C43" i="6"/>
  <c r="C8" i="6"/>
  <c r="F40" i="8" l="1"/>
  <c r="AE36" i="7"/>
  <c r="AG36" i="7" s="1"/>
  <c r="H35" i="15" s="1"/>
  <c r="AA4" i="7"/>
  <c r="P3" i="3"/>
  <c r="AN4" i="7"/>
  <c r="J3" i="3" s="1"/>
  <c r="AH4" i="7"/>
  <c r="H3" i="3" s="1"/>
  <c r="T4" i="13"/>
  <c r="O5" i="14"/>
  <c r="L7" i="11"/>
  <c r="I3" i="3" s="1"/>
  <c r="D6" i="12"/>
  <c r="K3" i="3" s="1"/>
  <c r="AQ4" i="7"/>
  <c r="L3" i="3" s="1"/>
  <c r="I5" i="7"/>
  <c r="E3" i="3" s="1"/>
  <c r="P35" i="3"/>
  <c r="AA36" i="7"/>
  <c r="AH36" i="7"/>
  <c r="H35" i="3" s="1"/>
  <c r="AN36" i="7"/>
  <c r="J35" i="3" s="1"/>
  <c r="O37" i="14"/>
  <c r="N35" i="3" s="1"/>
  <c r="T36" i="13"/>
  <c r="O35" i="3" s="1"/>
  <c r="AQ36" i="7"/>
  <c r="L35" i="3" s="1"/>
  <c r="E35" i="10"/>
  <c r="M35" i="3" s="1"/>
  <c r="P31" i="3"/>
  <c r="AA32" i="7"/>
  <c r="AN32" i="7"/>
  <c r="J31" i="3" s="1"/>
  <c r="AH32" i="7"/>
  <c r="H31" i="3" s="1"/>
  <c r="O33" i="14"/>
  <c r="N31" i="3" s="1"/>
  <c r="T32" i="13"/>
  <c r="O31" i="3" s="1"/>
  <c r="E31" i="10"/>
  <c r="M31" i="3" s="1"/>
  <c r="AQ32" i="7"/>
  <c r="L31" i="3" s="1"/>
  <c r="D34" i="12"/>
  <c r="K31" i="3" s="1"/>
  <c r="I33" i="7"/>
  <c r="E31" i="3" s="1"/>
  <c r="P27" i="3"/>
  <c r="AA28" i="7"/>
  <c r="AN28" i="7"/>
  <c r="J27" i="3" s="1"/>
  <c r="AH28" i="7"/>
  <c r="H27" i="3" s="1"/>
  <c r="O29" i="14"/>
  <c r="N27" i="3" s="1"/>
  <c r="T28" i="13"/>
  <c r="O27" i="3" s="1"/>
  <c r="E27" i="10"/>
  <c r="M27" i="3" s="1"/>
  <c r="AQ28" i="7"/>
  <c r="L27" i="3" s="1"/>
  <c r="I29" i="7"/>
  <c r="E27" i="3" s="1"/>
  <c r="D30" i="12"/>
  <c r="K27" i="3" s="1"/>
  <c r="P23" i="3"/>
  <c r="AH24" i="7"/>
  <c r="H23" i="3" s="1"/>
  <c r="AA24" i="7"/>
  <c r="AN24" i="7"/>
  <c r="J23" i="3" s="1"/>
  <c r="O25" i="14"/>
  <c r="N23" i="3" s="1"/>
  <c r="T24" i="13"/>
  <c r="O23" i="3" s="1"/>
  <c r="E23" i="10"/>
  <c r="M23" i="3" s="1"/>
  <c r="AQ24" i="7"/>
  <c r="L23" i="3" s="1"/>
  <c r="D26" i="12"/>
  <c r="K23" i="3" s="1"/>
  <c r="I25" i="7"/>
  <c r="E23" i="3" s="1"/>
  <c r="P19" i="3"/>
  <c r="AA20" i="7"/>
  <c r="AH20" i="7"/>
  <c r="H19" i="3" s="1"/>
  <c r="AN20" i="7"/>
  <c r="J19" i="3" s="1"/>
  <c r="O21" i="14"/>
  <c r="N19" i="3" s="1"/>
  <c r="E19" i="10"/>
  <c r="M19" i="3" s="1"/>
  <c r="T20" i="13"/>
  <c r="O19" i="3" s="1"/>
  <c r="AQ20" i="7"/>
  <c r="L19" i="3" s="1"/>
  <c r="D22" i="12"/>
  <c r="K19" i="3" s="1"/>
  <c r="I21" i="7"/>
  <c r="E19" i="3" s="1"/>
  <c r="P15" i="3"/>
  <c r="AA16" i="7"/>
  <c r="AN16" i="7"/>
  <c r="J15" i="3" s="1"/>
  <c r="AH16" i="7"/>
  <c r="H15" i="3" s="1"/>
  <c r="AQ16" i="7"/>
  <c r="L15" i="3" s="1"/>
  <c r="AA12" i="7"/>
  <c r="P11" i="3"/>
  <c r="AN12" i="7"/>
  <c r="J11" i="3" s="1"/>
  <c r="AH12" i="7"/>
  <c r="H11" i="3" s="1"/>
  <c r="O13" i="14"/>
  <c r="N11" i="3" s="1"/>
  <c r="T12" i="13"/>
  <c r="O11" i="3" s="1"/>
  <c r="E11" i="10"/>
  <c r="M11" i="3" s="1"/>
  <c r="AQ12" i="7"/>
  <c r="L11" i="3" s="1"/>
  <c r="D14" i="12"/>
  <c r="K11" i="3" s="1"/>
  <c r="I13" i="7"/>
  <c r="E11" i="3" s="1"/>
  <c r="AA8" i="7"/>
  <c r="P7" i="3"/>
  <c r="AH8" i="7"/>
  <c r="H7" i="3" s="1"/>
  <c r="AN8" i="7"/>
  <c r="J7" i="3" s="1"/>
  <c r="T8" i="13"/>
  <c r="O7" i="3" s="1"/>
  <c r="O9" i="14"/>
  <c r="N7" i="3" s="1"/>
  <c r="AQ8" i="7"/>
  <c r="L7" i="3" s="1"/>
  <c r="D10" i="12"/>
  <c r="K7" i="3" s="1"/>
  <c r="L11" i="11"/>
  <c r="I7" i="3" s="1"/>
  <c r="I9" i="7"/>
  <c r="E7" i="3" s="1"/>
  <c r="J3" i="4"/>
  <c r="D3" i="3" s="1"/>
  <c r="D38" i="12"/>
  <c r="K35" i="3" s="1"/>
  <c r="P34" i="3"/>
  <c r="AN35" i="7"/>
  <c r="J34" i="3" s="1"/>
  <c r="AA35" i="7"/>
  <c r="AH35" i="7"/>
  <c r="H34" i="3" s="1"/>
  <c r="O36" i="14"/>
  <c r="N34" i="3" s="1"/>
  <c r="T35" i="13"/>
  <c r="O34" i="3" s="1"/>
  <c r="AQ35" i="7"/>
  <c r="L34" i="3" s="1"/>
  <c r="E34" i="10"/>
  <c r="M34" i="3" s="1"/>
  <c r="I36" i="7"/>
  <c r="E34" i="3" s="1"/>
  <c r="P30" i="3"/>
  <c r="AA31" i="7"/>
  <c r="AN31" i="7"/>
  <c r="J30" i="3" s="1"/>
  <c r="AH31" i="7"/>
  <c r="H30" i="3" s="1"/>
  <c r="O32" i="14"/>
  <c r="N30" i="3" s="1"/>
  <c r="T31" i="13"/>
  <c r="O30" i="3" s="1"/>
  <c r="E30" i="10"/>
  <c r="M30" i="3" s="1"/>
  <c r="AQ31" i="7"/>
  <c r="L30" i="3" s="1"/>
  <c r="D33" i="12"/>
  <c r="K30" i="3" s="1"/>
  <c r="I32" i="7"/>
  <c r="E30" i="3" s="1"/>
  <c r="P26" i="3"/>
  <c r="AA27" i="7"/>
  <c r="AH27" i="7"/>
  <c r="H26" i="3" s="1"/>
  <c r="AN27" i="7"/>
  <c r="J26" i="3" s="1"/>
  <c r="O28" i="14"/>
  <c r="N26" i="3" s="1"/>
  <c r="T27" i="13"/>
  <c r="O26" i="3" s="1"/>
  <c r="E26" i="10"/>
  <c r="M26" i="3" s="1"/>
  <c r="AQ27" i="7"/>
  <c r="L26" i="3" s="1"/>
  <c r="D29" i="12"/>
  <c r="K26" i="3" s="1"/>
  <c r="I28" i="7"/>
  <c r="E26" i="3" s="1"/>
  <c r="P22" i="3"/>
  <c r="AA23" i="7"/>
  <c r="AN23" i="7"/>
  <c r="J22" i="3" s="1"/>
  <c r="AH23" i="7"/>
  <c r="H22" i="3" s="1"/>
  <c r="O24" i="14"/>
  <c r="N22" i="3" s="1"/>
  <c r="T23" i="13"/>
  <c r="O22" i="3" s="1"/>
  <c r="E22" i="10"/>
  <c r="M22" i="3" s="1"/>
  <c r="AQ23" i="7"/>
  <c r="L22" i="3" s="1"/>
  <c r="D25" i="12"/>
  <c r="K22" i="3" s="1"/>
  <c r="I24" i="7"/>
  <c r="E22" i="3" s="1"/>
  <c r="P18" i="3"/>
  <c r="AA19" i="7"/>
  <c r="AH19" i="7"/>
  <c r="H18" i="3" s="1"/>
  <c r="AN19" i="7"/>
  <c r="J18" i="3" s="1"/>
  <c r="O20" i="14"/>
  <c r="N18" i="3" s="1"/>
  <c r="E18" i="10"/>
  <c r="M18" i="3" s="1"/>
  <c r="T19" i="13"/>
  <c r="O18" i="3" s="1"/>
  <c r="AQ19" i="7"/>
  <c r="L18" i="3" s="1"/>
  <c r="I20" i="7"/>
  <c r="E18" i="3" s="1"/>
  <c r="D21" i="12"/>
  <c r="K18" i="3" s="1"/>
  <c r="P14" i="3"/>
  <c r="AA15" i="7"/>
  <c r="AN15" i="7"/>
  <c r="J14" i="3" s="1"/>
  <c r="AH15" i="7"/>
  <c r="H14" i="3" s="1"/>
  <c r="AQ15" i="7"/>
  <c r="L14" i="3" s="1"/>
  <c r="AA11" i="7"/>
  <c r="P10" i="3"/>
  <c r="AN11" i="7"/>
  <c r="J10" i="3" s="1"/>
  <c r="AH11" i="7"/>
  <c r="H10" i="3" s="1"/>
  <c r="O12" i="14"/>
  <c r="N10" i="3" s="1"/>
  <c r="T11" i="13"/>
  <c r="O10" i="3" s="1"/>
  <c r="E10" i="10"/>
  <c r="M10" i="3" s="1"/>
  <c r="AQ11" i="7"/>
  <c r="L10" i="3" s="1"/>
  <c r="D13" i="12"/>
  <c r="K10" i="3" s="1"/>
  <c r="I12" i="7"/>
  <c r="E10" i="3" s="1"/>
  <c r="P6" i="3"/>
  <c r="AA7" i="7"/>
  <c r="AN7" i="7"/>
  <c r="J6" i="3" s="1"/>
  <c r="AH7" i="7"/>
  <c r="H6" i="3" s="1"/>
  <c r="T7" i="13"/>
  <c r="O6" i="3" s="1"/>
  <c r="L10" i="11"/>
  <c r="I6" i="3" s="1"/>
  <c r="O8" i="14"/>
  <c r="N6" i="3" s="1"/>
  <c r="AQ7" i="7"/>
  <c r="L6" i="3" s="1"/>
  <c r="D9" i="12"/>
  <c r="K6" i="3" s="1"/>
  <c r="I8" i="7"/>
  <c r="E6" i="3" s="1"/>
  <c r="J7" i="4"/>
  <c r="D7" i="3" s="1"/>
  <c r="P37" i="3"/>
  <c r="AA38" i="7"/>
  <c r="AN38" i="7"/>
  <c r="J37" i="3" s="1"/>
  <c r="O39" i="14"/>
  <c r="N37" i="3" s="1"/>
  <c r="T38" i="13"/>
  <c r="O37" i="3" s="1"/>
  <c r="AQ38" i="7"/>
  <c r="L37" i="3" s="1"/>
  <c r="E37" i="10"/>
  <c r="M37" i="3" s="1"/>
  <c r="P33" i="3"/>
  <c r="AA34" i="7"/>
  <c r="AH34" i="7"/>
  <c r="H33" i="3" s="1"/>
  <c r="AN34" i="7"/>
  <c r="J33" i="3" s="1"/>
  <c r="O35" i="14"/>
  <c r="N33" i="3" s="1"/>
  <c r="T34" i="13"/>
  <c r="O33" i="3" s="1"/>
  <c r="E33" i="10"/>
  <c r="M33" i="3" s="1"/>
  <c r="AQ34" i="7"/>
  <c r="L33" i="3" s="1"/>
  <c r="I35" i="7"/>
  <c r="E33" i="3" s="1"/>
  <c r="P29" i="3"/>
  <c r="AA30" i="7"/>
  <c r="AN30" i="7"/>
  <c r="J29" i="3" s="1"/>
  <c r="AH30" i="7"/>
  <c r="H29" i="3" s="1"/>
  <c r="O31" i="14"/>
  <c r="N29" i="3" s="1"/>
  <c r="T30" i="13"/>
  <c r="O29" i="3" s="1"/>
  <c r="E29" i="10"/>
  <c r="M29" i="3" s="1"/>
  <c r="AQ30" i="7"/>
  <c r="L29" i="3" s="1"/>
  <c r="D32" i="12"/>
  <c r="K29" i="3" s="1"/>
  <c r="I31" i="7"/>
  <c r="E29" i="3" s="1"/>
  <c r="P25" i="3"/>
  <c r="AA26" i="7"/>
  <c r="AN26" i="7"/>
  <c r="J25" i="3" s="1"/>
  <c r="AH26" i="7"/>
  <c r="H25" i="3" s="1"/>
  <c r="O27" i="14"/>
  <c r="N25" i="3" s="1"/>
  <c r="T26" i="13"/>
  <c r="O25" i="3" s="1"/>
  <c r="E25" i="10"/>
  <c r="M25" i="3" s="1"/>
  <c r="AQ26" i="7"/>
  <c r="L25" i="3" s="1"/>
  <c r="D28" i="12"/>
  <c r="K25" i="3" s="1"/>
  <c r="I27" i="7"/>
  <c r="E25" i="3" s="1"/>
  <c r="P21" i="3"/>
  <c r="AA22" i="7"/>
  <c r="AN22" i="7"/>
  <c r="J21" i="3" s="1"/>
  <c r="AH22" i="7"/>
  <c r="H21" i="3" s="1"/>
  <c r="O23" i="14"/>
  <c r="N21" i="3" s="1"/>
  <c r="T22" i="13"/>
  <c r="O21" i="3" s="1"/>
  <c r="E21" i="10"/>
  <c r="M21" i="3" s="1"/>
  <c r="AQ22" i="7"/>
  <c r="L21" i="3" s="1"/>
  <c r="D24" i="12"/>
  <c r="K21" i="3" s="1"/>
  <c r="I23" i="7"/>
  <c r="E21" i="3" s="1"/>
  <c r="P17" i="3"/>
  <c r="AA18" i="7"/>
  <c r="AN18" i="7"/>
  <c r="J17" i="3" s="1"/>
  <c r="AH18" i="7"/>
  <c r="H17" i="3" s="1"/>
  <c r="AQ18" i="7"/>
  <c r="L17" i="3" s="1"/>
  <c r="AA14" i="7"/>
  <c r="P13" i="3"/>
  <c r="AN14" i="7"/>
  <c r="J13" i="3" s="1"/>
  <c r="AH14" i="7"/>
  <c r="H13" i="3" s="1"/>
  <c r="AQ14" i="7"/>
  <c r="L13" i="3" s="1"/>
  <c r="P9" i="3"/>
  <c r="AA10" i="7"/>
  <c r="AN10" i="7"/>
  <c r="J9" i="3" s="1"/>
  <c r="AH10" i="7"/>
  <c r="H9" i="3" s="1"/>
  <c r="O11" i="14"/>
  <c r="N9" i="3" s="1"/>
  <c r="T10" i="13"/>
  <c r="O9" i="3" s="1"/>
  <c r="E9" i="10"/>
  <c r="M9" i="3" s="1"/>
  <c r="AQ10" i="7"/>
  <c r="L9" i="3" s="1"/>
  <c r="AA6" i="7"/>
  <c r="P5" i="3"/>
  <c r="AN6" i="7"/>
  <c r="J5" i="3" s="1"/>
  <c r="AH6" i="7"/>
  <c r="H5" i="3" s="1"/>
  <c r="T6" i="13"/>
  <c r="O5" i="3" s="1"/>
  <c r="O7" i="14"/>
  <c r="N5" i="3" s="1"/>
  <c r="L9" i="11"/>
  <c r="I5" i="3" s="1"/>
  <c r="D8" i="12"/>
  <c r="K5" i="3" s="1"/>
  <c r="AQ6" i="7"/>
  <c r="L5" i="3" s="1"/>
  <c r="I7" i="7"/>
  <c r="E5" i="3" s="1"/>
  <c r="J6" i="4"/>
  <c r="D6" i="3" s="1"/>
  <c r="I11" i="7"/>
  <c r="E9" i="3" s="1"/>
  <c r="I39" i="7"/>
  <c r="E37" i="3" s="1"/>
  <c r="W12" i="8"/>
  <c r="G8" i="3" s="1"/>
  <c r="P36" i="3"/>
  <c r="AA37" i="7"/>
  <c r="AN37" i="7"/>
  <c r="J36" i="3" s="1"/>
  <c r="O38" i="14"/>
  <c r="N36" i="3" s="1"/>
  <c r="T37" i="13"/>
  <c r="O36" i="3" s="1"/>
  <c r="AQ37" i="7"/>
  <c r="L36" i="3" s="1"/>
  <c r="E36" i="10"/>
  <c r="M36" i="3" s="1"/>
  <c r="P32" i="3"/>
  <c r="AA33" i="7"/>
  <c r="AN33" i="7"/>
  <c r="J32" i="3" s="1"/>
  <c r="AH33" i="7"/>
  <c r="H32" i="3" s="1"/>
  <c r="O34" i="14"/>
  <c r="N32" i="3" s="1"/>
  <c r="T33" i="13"/>
  <c r="O32" i="3" s="1"/>
  <c r="E32" i="10"/>
  <c r="M32" i="3" s="1"/>
  <c r="AQ33" i="7"/>
  <c r="L32" i="3" s="1"/>
  <c r="D35" i="12"/>
  <c r="K32" i="3" s="1"/>
  <c r="I34" i="7"/>
  <c r="E32" i="3" s="1"/>
  <c r="P28" i="3"/>
  <c r="AA29" i="7"/>
  <c r="AH29" i="7"/>
  <c r="H28" i="3" s="1"/>
  <c r="AN29" i="7"/>
  <c r="J28" i="3" s="1"/>
  <c r="O30" i="14"/>
  <c r="N28" i="3" s="1"/>
  <c r="E28" i="10"/>
  <c r="M28" i="3" s="1"/>
  <c r="T29" i="13"/>
  <c r="O28" i="3" s="1"/>
  <c r="AQ29" i="7"/>
  <c r="L28" i="3" s="1"/>
  <c r="D31" i="12"/>
  <c r="K28" i="3" s="1"/>
  <c r="I30" i="7"/>
  <c r="E28" i="3" s="1"/>
  <c r="P24" i="3"/>
  <c r="AA25" i="7"/>
  <c r="AN25" i="7"/>
  <c r="J24" i="3" s="1"/>
  <c r="AH25" i="7"/>
  <c r="H24" i="3" s="1"/>
  <c r="O26" i="14"/>
  <c r="N24" i="3" s="1"/>
  <c r="E24" i="10"/>
  <c r="M24" i="3" s="1"/>
  <c r="T25" i="13"/>
  <c r="O24" i="3" s="1"/>
  <c r="AQ25" i="7"/>
  <c r="L24" i="3" s="1"/>
  <c r="I26" i="7"/>
  <c r="E24" i="3" s="1"/>
  <c r="D27" i="12"/>
  <c r="K24" i="3" s="1"/>
  <c r="P20" i="3"/>
  <c r="AA21" i="7"/>
  <c r="AN21" i="7"/>
  <c r="J20" i="3" s="1"/>
  <c r="AH21" i="7"/>
  <c r="H20" i="3" s="1"/>
  <c r="O22" i="14"/>
  <c r="N20" i="3" s="1"/>
  <c r="T21" i="13"/>
  <c r="O20" i="3" s="1"/>
  <c r="E20" i="10"/>
  <c r="M20" i="3" s="1"/>
  <c r="AQ21" i="7"/>
  <c r="L20" i="3" s="1"/>
  <c r="I22" i="7"/>
  <c r="E20" i="3" s="1"/>
  <c r="D23" i="12"/>
  <c r="K20" i="3" s="1"/>
  <c r="P16" i="3"/>
  <c r="AA17" i="7"/>
  <c r="AH17" i="7"/>
  <c r="H16" i="3" s="1"/>
  <c r="AN17" i="7"/>
  <c r="J16" i="3" s="1"/>
  <c r="AQ17" i="7"/>
  <c r="L16" i="3" s="1"/>
  <c r="AA13" i="7"/>
  <c r="P12" i="3"/>
  <c r="AN13" i="7"/>
  <c r="J12" i="3" s="1"/>
  <c r="AH13" i="7"/>
  <c r="H12" i="3" s="1"/>
  <c r="AQ13" i="7"/>
  <c r="L12" i="3" s="1"/>
  <c r="AA9" i="7"/>
  <c r="P8" i="3"/>
  <c r="AN9" i="7"/>
  <c r="J8" i="3" s="1"/>
  <c r="AH9" i="7"/>
  <c r="H8" i="3" s="1"/>
  <c r="E8" i="10"/>
  <c r="O10" i="14"/>
  <c r="N8" i="3" s="1"/>
  <c r="T9" i="13"/>
  <c r="O8" i="3" s="1"/>
  <c r="D11" i="12"/>
  <c r="K8" i="3" s="1"/>
  <c r="AQ9" i="7"/>
  <c r="L8" i="3" s="1"/>
  <c r="L12" i="11"/>
  <c r="I8" i="3" s="1"/>
  <c r="I10" i="7"/>
  <c r="E8" i="3" s="1"/>
  <c r="AA5" i="7"/>
  <c r="P4" i="3"/>
  <c r="AH5" i="7"/>
  <c r="H4" i="3" s="1"/>
  <c r="AN5" i="7"/>
  <c r="J4" i="3" s="1"/>
  <c r="T5" i="13"/>
  <c r="O4" i="3" s="1"/>
  <c r="L8" i="11"/>
  <c r="I4" i="3" s="1"/>
  <c r="O6" i="14"/>
  <c r="N4" i="3" s="1"/>
  <c r="D7" i="12"/>
  <c r="K4" i="3" s="1"/>
  <c r="AQ5" i="7"/>
  <c r="L4" i="3" s="1"/>
  <c r="I6" i="7"/>
  <c r="E4" i="3" s="1"/>
  <c r="J5" i="4"/>
  <c r="D5" i="3" s="1"/>
  <c r="D12" i="12"/>
  <c r="K9" i="3" s="1"/>
  <c r="Q13" i="8"/>
  <c r="Q37" i="8"/>
  <c r="Q38" i="8"/>
  <c r="G8" i="15"/>
  <c r="J27" i="11"/>
  <c r="K27" i="11" s="1"/>
  <c r="K35" i="15"/>
  <c r="J36" i="11"/>
  <c r="K36" i="11" s="1"/>
  <c r="J25" i="11"/>
  <c r="I21" i="15" s="1"/>
  <c r="J15" i="11"/>
  <c r="L15" i="11" s="1"/>
  <c r="I11" i="3" s="1"/>
  <c r="J30" i="11"/>
  <c r="L30" i="11" s="1"/>
  <c r="I26" i="3" s="1"/>
  <c r="T15" i="8"/>
  <c r="G11" i="15" s="1"/>
  <c r="T14" i="8"/>
  <c r="W14" i="8" s="1"/>
  <c r="T22" i="8"/>
  <c r="T27" i="8"/>
  <c r="W27" i="8" s="1"/>
  <c r="T31" i="8"/>
  <c r="T35" i="8"/>
  <c r="G31" i="15" s="1"/>
  <c r="V12" i="8"/>
  <c r="T30" i="8"/>
  <c r="G26" i="15" s="1"/>
  <c r="J31" i="11"/>
  <c r="I27" i="15" s="1"/>
  <c r="J29" i="11"/>
  <c r="K29" i="11" s="1"/>
  <c r="J32" i="11"/>
  <c r="L32" i="11" s="1"/>
  <c r="I28" i="3" s="1"/>
  <c r="J24" i="11"/>
  <c r="I20" i="15" s="1"/>
  <c r="T26" i="8"/>
  <c r="W26" i="8" s="1"/>
  <c r="T33" i="8"/>
  <c r="G29" i="15" s="1"/>
  <c r="J35" i="11"/>
  <c r="I31" i="15" s="1"/>
  <c r="T32" i="8"/>
  <c r="V32" i="8" s="1"/>
  <c r="J23" i="11"/>
  <c r="K23" i="11" s="1"/>
  <c r="J28" i="11"/>
  <c r="L28" i="11" s="1"/>
  <c r="I24" i="3" s="1"/>
  <c r="J26" i="11"/>
  <c r="K26" i="11" s="1"/>
  <c r="J14" i="11"/>
  <c r="L14" i="11" s="1"/>
  <c r="I10" i="3" s="1"/>
  <c r="T25" i="8"/>
  <c r="G21" i="15" s="1"/>
  <c r="T29" i="8"/>
  <c r="G25" i="15" s="1"/>
  <c r="T23" i="8"/>
  <c r="G19" i="15" s="1"/>
  <c r="J22" i="11"/>
  <c r="L22" i="11" s="1"/>
  <c r="I18" i="3" s="1"/>
  <c r="T36" i="8"/>
  <c r="G32" i="15" s="1"/>
  <c r="J33" i="11"/>
  <c r="I29" i="15" s="1"/>
  <c r="J34" i="11"/>
  <c r="I30" i="15" s="1"/>
  <c r="T34" i="8"/>
  <c r="W34" i="8" s="1"/>
  <c r="T24" i="8"/>
  <c r="G20" i="15" s="1"/>
  <c r="T28" i="8"/>
  <c r="W28" i="8" s="1"/>
  <c r="S37" i="8"/>
  <c r="I38" i="11"/>
  <c r="R38" i="8"/>
  <c r="S13" i="8"/>
  <c r="R13" i="8"/>
  <c r="H13" i="11"/>
  <c r="H38" i="11"/>
  <c r="I37" i="11"/>
  <c r="P37" i="8"/>
  <c r="R37" i="8"/>
  <c r="H37" i="11"/>
  <c r="P38" i="8"/>
  <c r="E35" i="15"/>
  <c r="I37" i="7"/>
  <c r="B39" i="12"/>
  <c r="C39" i="12" s="1"/>
  <c r="C40" i="8"/>
  <c r="C40" i="11"/>
  <c r="B40" i="12"/>
  <c r="C40" i="12" s="1"/>
  <c r="F39" i="11"/>
  <c r="I39" i="11" s="1"/>
  <c r="D39" i="11"/>
  <c r="G39" i="11" s="1"/>
  <c r="E39" i="11"/>
  <c r="H39" i="11" s="1"/>
  <c r="M39" i="8"/>
  <c r="S39" i="8" s="1"/>
  <c r="L39" i="8"/>
  <c r="R39" i="8" s="1"/>
  <c r="J39" i="8"/>
  <c r="P39" i="8" s="1"/>
  <c r="K39" i="8"/>
  <c r="Q39" i="8" s="1"/>
  <c r="N39" i="8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B4" i="4"/>
  <c r="B19" i="4" s="1"/>
  <c r="B20" i="4" s="1"/>
  <c r="B22" i="4" s="1"/>
  <c r="H36" i="4" s="1"/>
  <c r="J38" i="3" l="1"/>
  <c r="F41" i="8"/>
  <c r="AE38" i="7" s="1"/>
  <c r="AG38" i="7" s="1"/>
  <c r="AE37" i="7"/>
  <c r="AG37" i="7" s="1"/>
  <c r="H26" i="4"/>
  <c r="H18" i="4"/>
  <c r="H25" i="4"/>
  <c r="H9" i="4"/>
  <c r="H29" i="4"/>
  <c r="H33" i="4"/>
  <c r="H8" i="4"/>
  <c r="H31" i="4"/>
  <c r="H11" i="4"/>
  <c r="H28" i="4"/>
  <c r="H20" i="4"/>
  <c r="H27" i="4"/>
  <c r="H19" i="4"/>
  <c r="H21" i="4"/>
  <c r="H24" i="4"/>
  <c r="H22" i="4"/>
  <c r="H10" i="4"/>
  <c r="H30" i="4"/>
  <c r="H32" i="4"/>
  <c r="H23" i="4"/>
  <c r="H34" i="4"/>
  <c r="H35" i="4"/>
  <c r="I23" i="15"/>
  <c r="F4" i="3"/>
  <c r="AS5" i="7"/>
  <c r="F12" i="3"/>
  <c r="AS13" i="7"/>
  <c r="F36" i="3"/>
  <c r="F5" i="3"/>
  <c r="AS6" i="7"/>
  <c r="F18" i="3"/>
  <c r="AS19" i="7"/>
  <c r="F26" i="3"/>
  <c r="AS27" i="7"/>
  <c r="F7" i="3"/>
  <c r="AS8" i="7"/>
  <c r="M8" i="3"/>
  <c r="F16" i="3"/>
  <c r="AS17" i="7"/>
  <c r="F24" i="3"/>
  <c r="AS25" i="7"/>
  <c r="F32" i="3"/>
  <c r="AS33" i="7"/>
  <c r="F21" i="3"/>
  <c r="AS22" i="7"/>
  <c r="F29" i="3"/>
  <c r="AS30" i="7"/>
  <c r="F37" i="3"/>
  <c r="F10" i="3"/>
  <c r="AS11" i="7"/>
  <c r="F19" i="3"/>
  <c r="AS20" i="7"/>
  <c r="F27" i="3"/>
  <c r="AS28" i="7"/>
  <c r="N3" i="3"/>
  <c r="F8" i="3"/>
  <c r="AS9" i="7"/>
  <c r="F13" i="3"/>
  <c r="AS14" i="7"/>
  <c r="F33" i="3"/>
  <c r="AS34" i="7"/>
  <c r="F6" i="3"/>
  <c r="AS7" i="7"/>
  <c r="F14" i="3"/>
  <c r="AS15" i="7"/>
  <c r="F22" i="3"/>
  <c r="AS23" i="7"/>
  <c r="F30" i="3"/>
  <c r="AS31" i="7"/>
  <c r="F34" i="3"/>
  <c r="AS35" i="7"/>
  <c r="F11" i="3"/>
  <c r="AS12" i="7"/>
  <c r="F23" i="3"/>
  <c r="AS24" i="7"/>
  <c r="O3" i="3"/>
  <c r="P38" i="3"/>
  <c r="F20" i="3"/>
  <c r="AS21" i="7"/>
  <c r="F28" i="3"/>
  <c r="AS29" i="7"/>
  <c r="F9" i="3"/>
  <c r="AS10" i="7"/>
  <c r="F17" i="3"/>
  <c r="AS18" i="7"/>
  <c r="F25" i="3"/>
  <c r="AS26" i="7"/>
  <c r="F15" i="3"/>
  <c r="AS16" i="7"/>
  <c r="F31" i="3"/>
  <c r="AS32" i="7"/>
  <c r="F35" i="3"/>
  <c r="AS36" i="7"/>
  <c r="F3" i="3"/>
  <c r="AS4" i="7"/>
  <c r="K28" i="11"/>
  <c r="K14" i="11"/>
  <c r="L27" i="11"/>
  <c r="I23" i="3" s="1"/>
  <c r="G30" i="3"/>
  <c r="E35" i="3"/>
  <c r="G22" i="3"/>
  <c r="G10" i="3"/>
  <c r="G24" i="3"/>
  <c r="G23" i="3"/>
  <c r="H37" i="4"/>
  <c r="K22" i="11"/>
  <c r="V34" i="8"/>
  <c r="G30" i="15"/>
  <c r="K24" i="11"/>
  <c r="I18" i="15"/>
  <c r="W33" i="8"/>
  <c r="V27" i="8"/>
  <c r="V33" i="8"/>
  <c r="I10" i="15"/>
  <c r="I24" i="15"/>
  <c r="K34" i="11"/>
  <c r="L23" i="11"/>
  <c r="I19" i="3" s="1"/>
  <c r="J13" i="11"/>
  <c r="K13" i="11" s="1"/>
  <c r="I19" i="15"/>
  <c r="L34" i="11"/>
  <c r="I30" i="3" s="1"/>
  <c r="L26" i="11"/>
  <c r="I22" i="3" s="1"/>
  <c r="L24" i="11"/>
  <c r="I20" i="3" s="1"/>
  <c r="T37" i="8"/>
  <c r="G33" i="15" s="1"/>
  <c r="G23" i="15"/>
  <c r="W23" i="8"/>
  <c r="V23" i="8"/>
  <c r="V26" i="8"/>
  <c r="W36" i="8"/>
  <c r="W24" i="8"/>
  <c r="W35" i="8"/>
  <c r="K15" i="11"/>
  <c r="I25" i="15"/>
  <c r="V35" i="8"/>
  <c r="L36" i="11"/>
  <c r="I32" i="3" s="1"/>
  <c r="V14" i="8"/>
  <c r="G10" i="15"/>
  <c r="I11" i="15"/>
  <c r="I32" i="15"/>
  <c r="L29" i="11"/>
  <c r="I25" i="3" s="1"/>
  <c r="W32" i="8"/>
  <c r="I26" i="15"/>
  <c r="V28" i="8"/>
  <c r="L25" i="11"/>
  <c r="I21" i="3" s="1"/>
  <c r="K33" i="11"/>
  <c r="K25" i="11"/>
  <c r="K30" i="11"/>
  <c r="I28" i="15"/>
  <c r="W31" i="8"/>
  <c r="V31" i="8"/>
  <c r="G27" i="15"/>
  <c r="W22" i="8"/>
  <c r="G18" i="15"/>
  <c r="V22" i="8"/>
  <c r="V15" i="8"/>
  <c r="L33" i="11"/>
  <c r="I29" i="3" s="1"/>
  <c r="G28" i="15"/>
  <c r="G24" i="15"/>
  <c r="W15" i="8"/>
  <c r="G22" i="15"/>
  <c r="W29" i="8"/>
  <c r="L31" i="11"/>
  <c r="I27" i="3" s="1"/>
  <c r="K31" i="11"/>
  <c r="V29" i="8"/>
  <c r="T38" i="8"/>
  <c r="V38" i="8" s="1"/>
  <c r="V36" i="8"/>
  <c r="V25" i="8"/>
  <c r="W25" i="8"/>
  <c r="V24" i="8"/>
  <c r="I22" i="15"/>
  <c r="J37" i="11"/>
  <c r="K37" i="11" s="1"/>
  <c r="W30" i="8"/>
  <c r="L35" i="11"/>
  <c r="I31" i="3" s="1"/>
  <c r="K32" i="11"/>
  <c r="K35" i="11"/>
  <c r="J38" i="11"/>
  <c r="L38" i="11" s="1"/>
  <c r="I34" i="3" s="1"/>
  <c r="V30" i="8"/>
  <c r="T13" i="8"/>
  <c r="G9" i="15" s="1"/>
  <c r="W11" i="8"/>
  <c r="G7" i="15"/>
  <c r="K36" i="15"/>
  <c r="D39" i="12"/>
  <c r="I38" i="7"/>
  <c r="E36" i="15"/>
  <c r="D40" i="12"/>
  <c r="K37" i="3" s="1"/>
  <c r="K37" i="15"/>
  <c r="F40" i="11"/>
  <c r="E40" i="11"/>
  <c r="D40" i="11"/>
  <c r="C41" i="8"/>
  <c r="C41" i="11"/>
  <c r="L40" i="8"/>
  <c r="J40" i="8"/>
  <c r="N40" i="8"/>
  <c r="M40" i="8"/>
  <c r="K40" i="8"/>
  <c r="V11" i="8"/>
  <c r="B7" i="4"/>
  <c r="B8" i="4" s="1"/>
  <c r="B10" i="4" s="1"/>
  <c r="B13" i="4"/>
  <c r="B14" i="4" s="1"/>
  <c r="B16" i="4" s="1"/>
  <c r="H36" i="15" l="1"/>
  <c r="AH37" i="7"/>
  <c r="H37" i="15"/>
  <c r="H38" i="15" s="1"/>
  <c r="AH38" i="7"/>
  <c r="G26" i="4"/>
  <c r="G25" i="4"/>
  <c r="G29" i="4"/>
  <c r="G20" i="4"/>
  <c r="G27" i="4"/>
  <c r="G28" i="4"/>
  <c r="G22" i="4"/>
  <c r="G21" i="4"/>
  <c r="G32" i="4"/>
  <c r="G30" i="4"/>
  <c r="G23" i="4"/>
  <c r="G19" i="4"/>
  <c r="G18" i="4"/>
  <c r="G9" i="4"/>
  <c r="G33" i="4"/>
  <c r="G10" i="4"/>
  <c r="G8" i="4"/>
  <c r="G24" i="4"/>
  <c r="G31" i="4"/>
  <c r="G11" i="4"/>
  <c r="G34" i="4"/>
  <c r="G35" i="4"/>
  <c r="G36" i="4"/>
  <c r="G37" i="4"/>
  <c r="F22" i="4"/>
  <c r="F21" i="4"/>
  <c r="F28" i="4"/>
  <c r="F30" i="4"/>
  <c r="F19" i="4"/>
  <c r="F26" i="4"/>
  <c r="F25" i="4"/>
  <c r="F29" i="4"/>
  <c r="F32" i="4"/>
  <c r="F23" i="4"/>
  <c r="F10" i="4"/>
  <c r="F8" i="4"/>
  <c r="F20" i="4"/>
  <c r="F27" i="4"/>
  <c r="F18" i="4"/>
  <c r="F9" i="4"/>
  <c r="F24" i="4"/>
  <c r="F33" i="4"/>
  <c r="F31" i="4"/>
  <c r="F11" i="4"/>
  <c r="F34" i="4"/>
  <c r="F35" i="4"/>
  <c r="F36" i="4"/>
  <c r="F37" i="4"/>
  <c r="G32" i="3"/>
  <c r="Q40" i="8"/>
  <c r="G26" i="3"/>
  <c r="G19" i="3"/>
  <c r="G29" i="3"/>
  <c r="G21" i="3"/>
  <c r="G25" i="3"/>
  <c r="G11" i="3"/>
  <c r="G27" i="3"/>
  <c r="G31" i="3"/>
  <c r="G28" i="3"/>
  <c r="G7" i="3"/>
  <c r="G18" i="3"/>
  <c r="G20" i="3"/>
  <c r="L13" i="11"/>
  <c r="I9" i="3" s="1"/>
  <c r="I9" i="15"/>
  <c r="I33" i="15"/>
  <c r="W38" i="8"/>
  <c r="V13" i="8"/>
  <c r="W37" i="8"/>
  <c r="V37" i="8"/>
  <c r="W13" i="8"/>
  <c r="L37" i="11"/>
  <c r="I33" i="3" s="1"/>
  <c r="G34" i="15"/>
  <c r="I34" i="15"/>
  <c r="K38" i="11"/>
  <c r="I40" i="11"/>
  <c r="P40" i="8"/>
  <c r="G40" i="11"/>
  <c r="R40" i="8"/>
  <c r="H40" i="11"/>
  <c r="S40" i="8"/>
  <c r="K36" i="3"/>
  <c r="E36" i="3"/>
  <c r="D41" i="11"/>
  <c r="E41" i="11"/>
  <c r="F41" i="11"/>
  <c r="I41" i="11" s="1"/>
  <c r="J41" i="8"/>
  <c r="K41" i="8"/>
  <c r="Q41" i="8" s="1"/>
  <c r="M41" i="8"/>
  <c r="N41" i="8"/>
  <c r="L41" i="8"/>
  <c r="R41" i="8" s="1"/>
  <c r="J39" i="11"/>
  <c r="T39" i="8"/>
  <c r="A34" i="3"/>
  <c r="A35" i="3"/>
  <c r="A36" i="3"/>
  <c r="A37" i="3"/>
  <c r="E4" i="1"/>
  <c r="E6" i="1"/>
  <c r="E7" i="1"/>
  <c r="E8" i="1"/>
  <c r="B8" i="15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" i="1"/>
  <c r="C38" i="1"/>
  <c r="D34" i="1" s="1"/>
  <c r="E34" i="1" s="1"/>
  <c r="I8" i="4" l="1"/>
  <c r="J8" i="4" s="1"/>
  <c r="D8" i="3" s="1"/>
  <c r="H36" i="3"/>
  <c r="AS37" i="7"/>
  <c r="H37" i="3"/>
  <c r="AS38" i="7"/>
  <c r="G9" i="3"/>
  <c r="G34" i="3"/>
  <c r="G33" i="3"/>
  <c r="F33" i="1"/>
  <c r="B33" i="15"/>
  <c r="F29" i="1"/>
  <c r="B29" i="15"/>
  <c r="F25" i="1"/>
  <c r="B25" i="15"/>
  <c r="F21" i="1"/>
  <c r="B21" i="15"/>
  <c r="F17" i="1"/>
  <c r="B17" i="15"/>
  <c r="F13" i="1"/>
  <c r="B13" i="15"/>
  <c r="F9" i="1"/>
  <c r="B9" i="15"/>
  <c r="F36" i="1"/>
  <c r="R36" i="3" s="1"/>
  <c r="B36" i="15"/>
  <c r="F32" i="1"/>
  <c r="B32" i="15"/>
  <c r="F28" i="1"/>
  <c r="B28" i="15"/>
  <c r="F24" i="1"/>
  <c r="B24" i="15"/>
  <c r="F20" i="1"/>
  <c r="B20" i="15"/>
  <c r="F16" i="1"/>
  <c r="B16" i="15"/>
  <c r="F12" i="1"/>
  <c r="B12" i="15"/>
  <c r="F35" i="1"/>
  <c r="R35" i="3" s="1"/>
  <c r="B35" i="15"/>
  <c r="F31" i="1"/>
  <c r="B31" i="15"/>
  <c r="F27" i="1"/>
  <c r="B27" i="15"/>
  <c r="F23" i="1"/>
  <c r="B23" i="15"/>
  <c r="F19" i="1"/>
  <c r="B19" i="15"/>
  <c r="F15" i="1"/>
  <c r="B15" i="15"/>
  <c r="F11" i="1"/>
  <c r="B11" i="15"/>
  <c r="B35" i="3"/>
  <c r="F3" i="1"/>
  <c r="B3" i="15"/>
  <c r="F34" i="1"/>
  <c r="R34" i="3" s="1"/>
  <c r="B34" i="15"/>
  <c r="F30" i="1"/>
  <c r="B30" i="15"/>
  <c r="F26" i="1"/>
  <c r="B26" i="15"/>
  <c r="F22" i="1"/>
  <c r="B22" i="15"/>
  <c r="F18" i="1"/>
  <c r="B18" i="15"/>
  <c r="F14" i="1"/>
  <c r="B14" i="15"/>
  <c r="F10" i="1"/>
  <c r="B10" i="15"/>
  <c r="F7" i="1"/>
  <c r="B7" i="15"/>
  <c r="F6" i="1"/>
  <c r="B6" i="15"/>
  <c r="B5" i="15"/>
  <c r="F37" i="1"/>
  <c r="R37" i="3" s="1"/>
  <c r="B37" i="15"/>
  <c r="F4" i="1"/>
  <c r="B4" i="15"/>
  <c r="J40" i="11"/>
  <c r="L40" i="11" s="1"/>
  <c r="I36" i="3" s="1"/>
  <c r="T40" i="8"/>
  <c r="W40" i="8" s="1"/>
  <c r="G41" i="11"/>
  <c r="S41" i="8"/>
  <c r="P41" i="8"/>
  <c r="H41" i="11"/>
  <c r="I35" i="15"/>
  <c r="L39" i="11"/>
  <c r="F8" i="1"/>
  <c r="B37" i="3"/>
  <c r="B36" i="3"/>
  <c r="B34" i="3"/>
  <c r="K39" i="11"/>
  <c r="E38" i="1"/>
  <c r="D8" i="15" l="1"/>
  <c r="AS39" i="7"/>
  <c r="G36" i="3"/>
  <c r="B38" i="15"/>
  <c r="K40" i="11"/>
  <c r="G36" i="15"/>
  <c r="I36" i="15"/>
  <c r="V40" i="8"/>
  <c r="W39" i="8"/>
  <c r="G35" i="15"/>
  <c r="I35" i="3"/>
  <c r="T41" i="8"/>
  <c r="J41" i="11"/>
  <c r="V39" i="8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  <c r="A26" i="3"/>
  <c r="A27" i="3"/>
  <c r="A28" i="3"/>
  <c r="A29" i="3"/>
  <c r="A30" i="3"/>
  <c r="A31" i="3"/>
  <c r="A32" i="3"/>
  <c r="A3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" i="3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G35" i="3" l="1"/>
  <c r="L41" i="11"/>
  <c r="I37" i="15"/>
  <c r="C4" i="15"/>
  <c r="Q4" i="15" s="1"/>
  <c r="K41" i="11"/>
  <c r="R33" i="3"/>
  <c r="R32" i="3"/>
  <c r="I37" i="3" l="1"/>
  <c r="G37" i="15"/>
  <c r="W41" i="8"/>
  <c r="C3" i="15"/>
  <c r="Q3" i="15" s="1"/>
  <c r="C8" i="15"/>
  <c r="Q8" i="15" s="1"/>
  <c r="C5" i="15"/>
  <c r="Q5" i="15" s="1"/>
  <c r="C7" i="15"/>
  <c r="Q7" i="15" s="1"/>
  <c r="C6" i="15"/>
  <c r="Q6" i="15" s="1"/>
  <c r="C28" i="15"/>
  <c r="C18" i="15"/>
  <c r="C11" i="15"/>
  <c r="C27" i="15"/>
  <c r="C10" i="15"/>
  <c r="C30" i="15"/>
  <c r="L9" i="2"/>
  <c r="S7" i="3" s="1"/>
  <c r="L8" i="2"/>
  <c r="S6" i="3" s="1"/>
  <c r="L6" i="2"/>
  <c r="S4" i="3" s="1"/>
  <c r="L10" i="2"/>
  <c r="S8" i="3" s="1"/>
  <c r="L7" i="2"/>
  <c r="S5" i="3" s="1"/>
  <c r="V41" i="8"/>
  <c r="I31" i="4"/>
  <c r="D31" i="15" s="1"/>
  <c r="I33" i="4"/>
  <c r="D33" i="15" s="1"/>
  <c r="I34" i="4"/>
  <c r="D34" i="15" s="1"/>
  <c r="I22" i="4"/>
  <c r="D22" i="15" s="1"/>
  <c r="I21" i="4"/>
  <c r="D21" i="15" s="1"/>
  <c r="I23" i="4"/>
  <c r="D23" i="15" s="1"/>
  <c r="I32" i="4"/>
  <c r="D32" i="15" s="1"/>
  <c r="I30" i="4"/>
  <c r="D30" i="15" s="1"/>
  <c r="I24" i="4"/>
  <c r="D24" i="15" s="1"/>
  <c r="I20" i="4"/>
  <c r="D20" i="15" s="1"/>
  <c r="I37" i="4"/>
  <c r="D37" i="15" s="1"/>
  <c r="I19" i="4"/>
  <c r="D19" i="15" s="1"/>
  <c r="I28" i="4"/>
  <c r="I35" i="4"/>
  <c r="D35" i="15" s="1"/>
  <c r="I10" i="4"/>
  <c r="D10" i="15" s="1"/>
  <c r="I26" i="4"/>
  <c r="D26" i="15" s="1"/>
  <c r="I11" i="4"/>
  <c r="D11" i="15" s="1"/>
  <c r="I27" i="4"/>
  <c r="D27" i="15" s="1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Q30" i="15" l="1"/>
  <c r="Q10" i="15"/>
  <c r="Q11" i="15"/>
  <c r="Q27" i="15"/>
  <c r="L30" i="2"/>
  <c r="L29" i="2"/>
  <c r="G37" i="3"/>
  <c r="L5" i="2"/>
  <c r="S3" i="3" s="1"/>
  <c r="I25" i="4"/>
  <c r="D25" i="15" s="1"/>
  <c r="D28" i="15"/>
  <c r="Q28" i="15" s="1"/>
  <c r="I29" i="4"/>
  <c r="D29" i="15" s="1"/>
  <c r="I36" i="4"/>
  <c r="D36" i="15" s="1"/>
  <c r="C4" i="3"/>
  <c r="Q4" i="3" s="1"/>
  <c r="C7" i="3"/>
  <c r="Q7" i="3" s="1"/>
  <c r="L34" i="2"/>
  <c r="C32" i="15"/>
  <c r="Q32" i="15" s="1"/>
  <c r="L31" i="2"/>
  <c r="C29" i="15"/>
  <c r="L39" i="2"/>
  <c r="C37" i="15"/>
  <c r="Q37" i="15" s="1"/>
  <c r="L35" i="2"/>
  <c r="C33" i="15"/>
  <c r="Q33" i="15" s="1"/>
  <c r="C5" i="3"/>
  <c r="Q5" i="3" s="1"/>
  <c r="L12" i="2"/>
  <c r="L11" i="2"/>
  <c r="C9" i="15"/>
  <c r="L33" i="2"/>
  <c r="C31" i="15"/>
  <c r="Q31" i="15" s="1"/>
  <c r="L21" i="2"/>
  <c r="C19" i="15"/>
  <c r="Q19" i="15" s="1"/>
  <c r="L26" i="2"/>
  <c r="C24" i="15"/>
  <c r="Q24" i="15" s="1"/>
  <c r="L22" i="2"/>
  <c r="C20" i="15"/>
  <c r="Q20" i="15" s="1"/>
  <c r="L38" i="2"/>
  <c r="C36" i="15"/>
  <c r="L28" i="2"/>
  <c r="C26" i="15"/>
  <c r="Q26" i="15" s="1"/>
  <c r="C8" i="3"/>
  <c r="Q8" i="3" s="1"/>
  <c r="C6" i="3"/>
  <c r="Q6" i="3" s="1"/>
  <c r="L27" i="2"/>
  <c r="C25" i="15"/>
  <c r="L37" i="2"/>
  <c r="C35" i="15"/>
  <c r="Q35" i="15" s="1"/>
  <c r="L36" i="2"/>
  <c r="C34" i="15"/>
  <c r="Q34" i="15" s="1"/>
  <c r="L24" i="2"/>
  <c r="C22" i="15"/>
  <c r="Q22" i="15" s="1"/>
  <c r="L25" i="2"/>
  <c r="C23" i="15"/>
  <c r="Q23" i="15" s="1"/>
  <c r="L23" i="2"/>
  <c r="C21" i="15"/>
  <c r="Q21" i="15" s="1"/>
  <c r="L13" i="2"/>
  <c r="L32" i="2"/>
  <c r="L20" i="2"/>
  <c r="I18" i="4"/>
  <c r="J18" i="4" s="1"/>
  <c r="D18" i="3" s="1"/>
  <c r="J27" i="4"/>
  <c r="J32" i="4"/>
  <c r="J33" i="4"/>
  <c r="D33" i="3" s="1"/>
  <c r="J11" i="4"/>
  <c r="D11" i="3" s="1"/>
  <c r="J19" i="4"/>
  <c r="J37" i="4"/>
  <c r="J23" i="4"/>
  <c r="D23" i="3" s="1"/>
  <c r="J34" i="4"/>
  <c r="J35" i="4"/>
  <c r="D35" i="3" s="1"/>
  <c r="J21" i="4"/>
  <c r="D21" i="3" s="1"/>
  <c r="J31" i="4"/>
  <c r="J22" i="4"/>
  <c r="D22" i="3" s="1"/>
  <c r="J30" i="4"/>
  <c r="D30" i="3" s="1"/>
  <c r="J28" i="4"/>
  <c r="J20" i="4"/>
  <c r="J24" i="4"/>
  <c r="J26" i="4"/>
  <c r="J10" i="4"/>
  <c r="I9" i="4"/>
  <c r="F38" i="1"/>
  <c r="R3" i="3"/>
  <c r="R38" i="3" s="1"/>
  <c r="Q25" i="15" l="1"/>
  <c r="S18" i="3"/>
  <c r="S23" i="3"/>
  <c r="S28" i="3"/>
  <c r="S30" i="3"/>
  <c r="S21" i="3"/>
  <c r="S22" i="3"/>
  <c r="S35" i="3"/>
  <c r="S20" i="3"/>
  <c r="S19" i="3"/>
  <c r="S31" i="3"/>
  <c r="C37" i="3"/>
  <c r="S37" i="3"/>
  <c r="S32" i="3"/>
  <c r="S11" i="3"/>
  <c r="S10" i="3"/>
  <c r="S34" i="3"/>
  <c r="S26" i="3"/>
  <c r="S24" i="3"/>
  <c r="S33" i="3"/>
  <c r="S27" i="3"/>
  <c r="Q36" i="15"/>
  <c r="Q29" i="15"/>
  <c r="C30" i="3"/>
  <c r="Q30" i="3" s="1"/>
  <c r="C21" i="3"/>
  <c r="Q21" i="3" s="1"/>
  <c r="C22" i="3"/>
  <c r="Q22" i="3" s="1"/>
  <c r="C35" i="3"/>
  <c r="Q35" i="3" s="1"/>
  <c r="C36" i="3"/>
  <c r="C20" i="3"/>
  <c r="C19" i="3"/>
  <c r="C31" i="3"/>
  <c r="C9" i="3"/>
  <c r="C32" i="3"/>
  <c r="C11" i="3"/>
  <c r="Q11" i="3" s="1"/>
  <c r="C23" i="3"/>
  <c r="Q23" i="3" s="1"/>
  <c r="C34" i="3"/>
  <c r="C25" i="3"/>
  <c r="C26" i="3"/>
  <c r="C24" i="3"/>
  <c r="C33" i="3"/>
  <c r="Q33" i="3" s="1"/>
  <c r="C29" i="3"/>
  <c r="C27" i="3"/>
  <c r="C10" i="3"/>
  <c r="C18" i="3"/>
  <c r="Q18" i="3" s="1"/>
  <c r="C3" i="3"/>
  <c r="C28" i="3"/>
  <c r="J29" i="4"/>
  <c r="D29" i="3" s="1"/>
  <c r="J36" i="4"/>
  <c r="D36" i="3" s="1"/>
  <c r="J25" i="4"/>
  <c r="S25" i="3" s="1"/>
  <c r="D24" i="3"/>
  <c r="D28" i="3"/>
  <c r="D31" i="3"/>
  <c r="D27" i="3"/>
  <c r="D20" i="3"/>
  <c r="D37" i="3"/>
  <c r="D10" i="3"/>
  <c r="D18" i="15"/>
  <c r="Q18" i="15" s="1"/>
  <c r="D9" i="15"/>
  <c r="Q9" i="15" s="1"/>
  <c r="D19" i="3"/>
  <c r="D26" i="3"/>
  <c r="D34" i="3"/>
  <c r="D32" i="3"/>
  <c r="J9" i="4"/>
  <c r="S9" i="3" s="1"/>
  <c r="Q3" i="3" l="1"/>
  <c r="Q34" i="3"/>
  <c r="Q26" i="3"/>
  <c r="Q37" i="3"/>
  <c r="Q19" i="3"/>
  <c r="Q24" i="3"/>
  <c r="Q32" i="3"/>
  <c r="Q29" i="3"/>
  <c r="Q36" i="3"/>
  <c r="Q28" i="3"/>
  <c r="S29" i="3"/>
  <c r="Q10" i="3"/>
  <c r="S36" i="3"/>
  <c r="Q20" i="3"/>
  <c r="Q27" i="3"/>
  <c r="Q31" i="3"/>
  <c r="D25" i="3"/>
  <c r="Q25" i="3" s="1"/>
  <c r="D9" i="3"/>
  <c r="Q9" i="3" l="1"/>
  <c r="P10" i="18"/>
  <c r="E19" i="18"/>
  <c r="F14" i="7"/>
  <c r="F18" i="18"/>
  <c r="F19" i="18" l="1"/>
  <c r="H19" i="18" s="1"/>
  <c r="J19" i="18" s="1"/>
  <c r="I19" i="18"/>
  <c r="Q19" i="18"/>
  <c r="R19" i="18" s="1"/>
  <c r="Q18" i="18"/>
  <c r="R18" i="18" s="1"/>
  <c r="I18" i="18"/>
  <c r="H18" i="18"/>
  <c r="G18" i="18"/>
  <c r="K18" i="18" s="1"/>
  <c r="F15" i="7"/>
  <c r="G19" i="18"/>
  <c r="C16" i="11"/>
  <c r="B15" i="12"/>
  <c r="C15" i="12" s="1"/>
  <c r="C16" i="8"/>
  <c r="S18" i="18"/>
  <c r="E20" i="18"/>
  <c r="T18" i="18" l="1"/>
  <c r="X18" i="18"/>
  <c r="AG21" i="17" s="1"/>
  <c r="S19" i="18"/>
  <c r="J18" i="18"/>
  <c r="I20" i="18"/>
  <c r="E21" i="18"/>
  <c r="F20" i="18"/>
  <c r="H20" i="18" s="1"/>
  <c r="J20" i="18" s="1"/>
  <c r="K12" i="15"/>
  <c r="D15" i="12"/>
  <c r="E12" i="15"/>
  <c r="I14" i="7"/>
  <c r="K19" i="18"/>
  <c r="M19" i="18"/>
  <c r="L19" i="18"/>
  <c r="O19" i="18" s="1"/>
  <c r="AG18" i="18"/>
  <c r="E16" i="11"/>
  <c r="D16" i="11"/>
  <c r="F16" i="11"/>
  <c r="B16" i="12"/>
  <c r="C16" i="12" s="1"/>
  <c r="C17" i="8"/>
  <c r="C17" i="11"/>
  <c r="L18" i="18"/>
  <c r="O18" i="18" s="1"/>
  <c r="P18" i="18" s="1"/>
  <c r="AA18" i="18" s="1"/>
  <c r="L16" i="8"/>
  <c r="K16" i="8"/>
  <c r="N16" i="8"/>
  <c r="M16" i="8"/>
  <c r="J16" i="8"/>
  <c r="M18" i="18"/>
  <c r="Q20" i="18" l="1"/>
  <c r="R20" i="18" s="1"/>
  <c r="T19" i="18"/>
  <c r="X19" i="18"/>
  <c r="AG22" i="17" s="1"/>
  <c r="S16" i="8"/>
  <c r="H16" i="11"/>
  <c r="E12" i="3"/>
  <c r="AF18" i="18"/>
  <c r="F14" i="2" s="1"/>
  <c r="G14" i="2" s="1"/>
  <c r="E13" i="15"/>
  <c r="I15" i="7"/>
  <c r="E13" i="3" s="1"/>
  <c r="Q16" i="8"/>
  <c r="F17" i="11"/>
  <c r="I17" i="11" s="1"/>
  <c r="D17" i="11"/>
  <c r="G17" i="11" s="1"/>
  <c r="E17" i="11"/>
  <c r="H17" i="11" s="1"/>
  <c r="I16" i="11"/>
  <c r="S20" i="18"/>
  <c r="F16" i="7"/>
  <c r="G20" i="18"/>
  <c r="D16" i="12"/>
  <c r="K13" i="3" s="1"/>
  <c r="K13" i="15"/>
  <c r="AF19" i="18"/>
  <c r="F15" i="2" s="1"/>
  <c r="G15" i="2" s="1"/>
  <c r="P16" i="8"/>
  <c r="R16" i="8"/>
  <c r="M17" i="8"/>
  <c r="S17" i="8" s="1"/>
  <c r="N17" i="8"/>
  <c r="K17" i="8"/>
  <c r="Q17" i="8" s="1"/>
  <c r="L17" i="8"/>
  <c r="R17" i="8" s="1"/>
  <c r="J17" i="8"/>
  <c r="P17" i="8" s="1"/>
  <c r="G16" i="11"/>
  <c r="P19" i="18"/>
  <c r="AA19" i="18" s="1"/>
  <c r="AG19" i="18"/>
  <c r="K12" i="3"/>
  <c r="F21" i="18"/>
  <c r="I21" i="18" s="1"/>
  <c r="E22" i="18"/>
  <c r="T20" i="18" l="1"/>
  <c r="X20" i="18"/>
  <c r="Q21" i="18"/>
  <c r="R21" i="18" s="1"/>
  <c r="H21" i="18"/>
  <c r="J21" i="18" s="1"/>
  <c r="AC21" i="17"/>
  <c r="B12" i="10" s="1"/>
  <c r="F22" i="18"/>
  <c r="H22" i="18" s="1"/>
  <c r="E23" i="18"/>
  <c r="T16" i="8"/>
  <c r="AG23" i="17"/>
  <c r="J17" i="11"/>
  <c r="G40" i="2"/>
  <c r="B17" i="12"/>
  <c r="C17" i="12" s="1"/>
  <c r="C18" i="11"/>
  <c r="C18" i="8"/>
  <c r="J16" i="11"/>
  <c r="S21" i="18"/>
  <c r="X21" i="18" s="1"/>
  <c r="G21" i="18"/>
  <c r="F17" i="7"/>
  <c r="AC22" i="17"/>
  <c r="B13" i="10" s="1"/>
  <c r="T17" i="8"/>
  <c r="K20" i="18"/>
  <c r="L20" i="18"/>
  <c r="O20" i="18" s="1"/>
  <c r="M20" i="18"/>
  <c r="Q22" i="18" l="1"/>
  <c r="R22" i="18" s="1"/>
  <c r="F23" i="18"/>
  <c r="I23" i="18"/>
  <c r="H23" i="18"/>
  <c r="Q23" i="18"/>
  <c r="R23" i="18" s="1"/>
  <c r="I22" i="18"/>
  <c r="J22" i="18" s="1"/>
  <c r="C13" i="10"/>
  <c r="B14" i="13"/>
  <c r="B15" i="14"/>
  <c r="AF20" i="18"/>
  <c r="J18" i="8"/>
  <c r="N18" i="8"/>
  <c r="M18" i="8"/>
  <c r="K18" i="8"/>
  <c r="L18" i="8"/>
  <c r="G22" i="18"/>
  <c r="F18" i="7"/>
  <c r="S22" i="18"/>
  <c r="X22" i="18" s="1"/>
  <c r="P20" i="18"/>
  <c r="AA20" i="18" s="1"/>
  <c r="AG20" i="18"/>
  <c r="AG24" i="17"/>
  <c r="K16" i="11"/>
  <c r="L16" i="11"/>
  <c r="I12" i="15"/>
  <c r="E18" i="11"/>
  <c r="D18" i="11"/>
  <c r="F18" i="11"/>
  <c r="C12" i="10"/>
  <c r="B13" i="13"/>
  <c r="B14" i="14"/>
  <c r="AE22" i="17"/>
  <c r="C15" i="2" s="1"/>
  <c r="K21" i="18"/>
  <c r="L21" i="18"/>
  <c r="O21" i="18" s="1"/>
  <c r="M21" i="18"/>
  <c r="T21" i="18"/>
  <c r="D17" i="12"/>
  <c r="K14" i="15"/>
  <c r="V17" i="8"/>
  <c r="G13" i="15"/>
  <c r="W17" i="8"/>
  <c r="G13" i="3" s="1"/>
  <c r="C19" i="8"/>
  <c r="B18" i="12"/>
  <c r="C18" i="12" s="1"/>
  <c r="C19" i="11"/>
  <c r="I16" i="7"/>
  <c r="E14" i="15"/>
  <c r="I13" i="15"/>
  <c r="L17" i="11"/>
  <c r="I13" i="3" s="1"/>
  <c r="K17" i="11"/>
  <c r="G23" i="18"/>
  <c r="S23" i="18"/>
  <c r="F19" i="7"/>
  <c r="AE21" i="17"/>
  <c r="C14" i="2" s="1"/>
  <c r="T23" i="18" l="1"/>
  <c r="X23" i="18"/>
  <c r="J23" i="18"/>
  <c r="D12" i="10"/>
  <c r="M12" i="15" s="1"/>
  <c r="AG26" i="17"/>
  <c r="N19" i="8"/>
  <c r="J19" i="8"/>
  <c r="P19" i="8" s="1"/>
  <c r="L19" i="8"/>
  <c r="R19" i="8" s="1"/>
  <c r="K19" i="8"/>
  <c r="Q19" i="8" s="1"/>
  <c r="M19" i="8"/>
  <c r="S19" i="8" s="1"/>
  <c r="AG21" i="18"/>
  <c r="P21" i="18"/>
  <c r="AA21" i="18" s="1"/>
  <c r="G14" i="14"/>
  <c r="F14" i="14"/>
  <c r="E14" i="14"/>
  <c r="C14" i="14"/>
  <c r="D14" i="14"/>
  <c r="R18" i="8"/>
  <c r="F15" i="14"/>
  <c r="L15" i="14" s="1"/>
  <c r="G15" i="14"/>
  <c r="M15" i="14" s="1"/>
  <c r="E15" i="14"/>
  <c r="K15" i="14" s="1"/>
  <c r="D15" i="14"/>
  <c r="J15" i="14" s="1"/>
  <c r="C15" i="14"/>
  <c r="I15" i="14" s="1"/>
  <c r="I17" i="7"/>
  <c r="E15" i="3" s="1"/>
  <c r="E15" i="15"/>
  <c r="E13" i="4"/>
  <c r="D15" i="2"/>
  <c r="K15" i="2" s="1"/>
  <c r="J13" i="13"/>
  <c r="K13" i="13"/>
  <c r="H13" i="13"/>
  <c r="I13" i="13"/>
  <c r="G18" i="11"/>
  <c r="I12" i="3"/>
  <c r="B19" i="12"/>
  <c r="C19" i="12" s="1"/>
  <c r="C20" i="8"/>
  <c r="C20" i="11"/>
  <c r="Q18" i="8"/>
  <c r="J14" i="13"/>
  <c r="N14" i="13" s="1"/>
  <c r="K14" i="13"/>
  <c r="P14" i="13" s="1"/>
  <c r="I14" i="13"/>
  <c r="O14" i="13" s="1"/>
  <c r="H14" i="13"/>
  <c r="M14" i="13" s="1"/>
  <c r="K14" i="3"/>
  <c r="I18" i="11"/>
  <c r="P18" i="8"/>
  <c r="E19" i="11"/>
  <c r="H19" i="11" s="1"/>
  <c r="D19" i="11"/>
  <c r="G19" i="11" s="1"/>
  <c r="F19" i="11"/>
  <c r="I19" i="11" s="1"/>
  <c r="H18" i="11"/>
  <c r="AC23" i="17"/>
  <c r="B14" i="10" s="1"/>
  <c r="T22" i="18"/>
  <c r="G12" i="15"/>
  <c r="V16" i="8"/>
  <c r="W16" i="8"/>
  <c r="S18" i="8"/>
  <c r="D13" i="10"/>
  <c r="D14" i="2"/>
  <c r="E12" i="4"/>
  <c r="L22" i="18"/>
  <c r="O22" i="18" s="1"/>
  <c r="K22" i="18"/>
  <c r="M22" i="18"/>
  <c r="B20" i="12"/>
  <c r="C20" i="12" s="1"/>
  <c r="C21" i="8"/>
  <c r="C21" i="11"/>
  <c r="M23" i="18"/>
  <c r="K23" i="18"/>
  <c r="L23" i="18"/>
  <c r="O23" i="18" s="1"/>
  <c r="E14" i="3"/>
  <c r="D18" i="12"/>
  <c r="K15" i="3" s="1"/>
  <c r="K15" i="15"/>
  <c r="AF21" i="18"/>
  <c r="AG25" i="17"/>
  <c r="E12" i="10" l="1"/>
  <c r="M12" i="3" s="1"/>
  <c r="G12" i="3"/>
  <c r="E16" i="15"/>
  <c r="I18" i="7"/>
  <c r="H40" i="7"/>
  <c r="M13" i="13"/>
  <c r="AF23" i="18"/>
  <c r="K21" i="8"/>
  <c r="Q21" i="8" s="1"/>
  <c r="L21" i="8"/>
  <c r="R21" i="8" s="1"/>
  <c r="N21" i="8"/>
  <c r="J21" i="8"/>
  <c r="P21" i="8" s="1"/>
  <c r="M21" i="8"/>
  <c r="S21" i="8" s="1"/>
  <c r="AG22" i="18"/>
  <c r="P22" i="18"/>
  <c r="AA22" i="18" s="1"/>
  <c r="E13" i="10"/>
  <c r="M13" i="3" s="1"/>
  <c r="M13" i="15"/>
  <c r="T18" i="8"/>
  <c r="E20" i="11"/>
  <c r="D20" i="11"/>
  <c r="G20" i="11" s="1"/>
  <c r="F20" i="11"/>
  <c r="J18" i="11"/>
  <c r="H13" i="4"/>
  <c r="G13" i="4"/>
  <c r="F13" i="4"/>
  <c r="L14" i="14"/>
  <c r="C42" i="11"/>
  <c r="AG23" i="18"/>
  <c r="P23" i="18"/>
  <c r="AA23" i="18" s="1"/>
  <c r="E17" i="15"/>
  <c r="I19" i="7"/>
  <c r="E17" i="3" s="1"/>
  <c r="AF22" i="18"/>
  <c r="AE23" i="17"/>
  <c r="C16" i="2" s="1"/>
  <c r="Q14" i="13"/>
  <c r="S14" i="13" s="1"/>
  <c r="M20" i="8"/>
  <c r="S20" i="8" s="1"/>
  <c r="K20" i="8"/>
  <c r="L20" i="8"/>
  <c r="J20" i="8"/>
  <c r="N20" i="8"/>
  <c r="N13" i="13"/>
  <c r="N15" i="14"/>
  <c r="J14" i="14"/>
  <c r="M14" i="14"/>
  <c r="K14" i="2"/>
  <c r="J19" i="11"/>
  <c r="K14" i="14"/>
  <c r="B16" i="14"/>
  <c r="C14" i="10"/>
  <c r="B15" i="13"/>
  <c r="P13" i="13"/>
  <c r="K17" i="15"/>
  <c r="D20" i="12"/>
  <c r="K17" i="3" s="1"/>
  <c r="G12" i="4"/>
  <c r="H12" i="4"/>
  <c r="F12" i="4"/>
  <c r="K16" i="15"/>
  <c r="D19" i="12"/>
  <c r="O13" i="13"/>
  <c r="I14" i="14"/>
  <c r="E21" i="11"/>
  <c r="H21" i="11" s="1"/>
  <c r="F21" i="11"/>
  <c r="I21" i="11" s="1"/>
  <c r="D21" i="11"/>
  <c r="G21" i="11" s="1"/>
  <c r="G42" i="11" s="1"/>
  <c r="C13" i="15"/>
  <c r="L15" i="2"/>
  <c r="T19" i="8"/>
  <c r="C41" i="12"/>
  <c r="S42" i="8" l="1"/>
  <c r="M42" i="8"/>
  <c r="D14" i="10"/>
  <c r="M14" i="15" s="1"/>
  <c r="R20" i="8"/>
  <c r="L42" i="8"/>
  <c r="K16" i="3"/>
  <c r="D41" i="12"/>
  <c r="K19" i="11"/>
  <c r="I15" i="15"/>
  <c r="L19" i="11"/>
  <c r="I15" i="3" s="1"/>
  <c r="Q20" i="8"/>
  <c r="K42" i="8"/>
  <c r="Q13" i="13"/>
  <c r="S13" i="13" s="1"/>
  <c r="E38" i="15"/>
  <c r="K15" i="13"/>
  <c r="J15" i="13"/>
  <c r="H15" i="13"/>
  <c r="I15" i="13"/>
  <c r="T14" i="13"/>
  <c r="O13" i="3" s="1"/>
  <c r="O13" i="15"/>
  <c r="E16" i="3"/>
  <c r="I40" i="7"/>
  <c r="J21" i="11"/>
  <c r="K38" i="15"/>
  <c r="G16" i="14"/>
  <c r="F16" i="14"/>
  <c r="D16" i="14"/>
  <c r="C16" i="14"/>
  <c r="E16" i="14"/>
  <c r="D42" i="11"/>
  <c r="N13" i="15"/>
  <c r="O15" i="14"/>
  <c r="N13" i="3" s="1"/>
  <c r="N42" i="8"/>
  <c r="E14" i="4"/>
  <c r="D16" i="2"/>
  <c r="I13" i="4"/>
  <c r="L18" i="11"/>
  <c r="K18" i="11"/>
  <c r="I14" i="15"/>
  <c r="H20" i="11"/>
  <c r="E42" i="11"/>
  <c r="G15" i="15"/>
  <c r="V19" i="8"/>
  <c r="W19" i="8"/>
  <c r="G15" i="3" s="1"/>
  <c r="C13" i="3"/>
  <c r="I12" i="4"/>
  <c r="I20" i="11"/>
  <c r="F42" i="11"/>
  <c r="AC24" i="17"/>
  <c r="B15" i="10" s="1"/>
  <c r="N14" i="14"/>
  <c r="C12" i="15"/>
  <c r="L14" i="2"/>
  <c r="P20" i="8"/>
  <c r="J42" i="8"/>
  <c r="T21" i="8"/>
  <c r="E14" i="10" l="1"/>
  <c r="M14" i="3" s="1"/>
  <c r="C15" i="10"/>
  <c r="B17" i="14"/>
  <c r="B16" i="13"/>
  <c r="N12" i="15"/>
  <c r="O14" i="14"/>
  <c r="W18" i="8"/>
  <c r="V18" i="8"/>
  <c r="G14" i="15"/>
  <c r="K16" i="2"/>
  <c r="I16" i="14"/>
  <c r="R42" i="8"/>
  <c r="H42" i="11"/>
  <c r="I14" i="3"/>
  <c r="H14" i="4"/>
  <c r="G14" i="4"/>
  <c r="F14" i="4"/>
  <c r="J16" i="14"/>
  <c r="I17" i="15"/>
  <c r="K21" i="11"/>
  <c r="L21" i="11"/>
  <c r="I17" i="3" s="1"/>
  <c r="N15" i="13"/>
  <c r="T13" i="13"/>
  <c r="O12" i="15"/>
  <c r="J20" i="11"/>
  <c r="Q42" i="8"/>
  <c r="AE25" i="17"/>
  <c r="C18" i="2" s="1"/>
  <c r="I42" i="11"/>
  <c r="J13" i="4"/>
  <c r="D13" i="15"/>
  <c r="Q13" i="15" s="1"/>
  <c r="L16" i="14"/>
  <c r="O15" i="13"/>
  <c r="P15" i="13"/>
  <c r="AC25" i="17"/>
  <c r="B16" i="10" s="1"/>
  <c r="C12" i="3"/>
  <c r="AE24" i="17"/>
  <c r="C17" i="2" s="1"/>
  <c r="V21" i="8"/>
  <c r="G17" i="15"/>
  <c r="W21" i="8"/>
  <c r="G17" i="3" s="1"/>
  <c r="T20" i="8"/>
  <c r="P42" i="8"/>
  <c r="D12" i="15"/>
  <c r="J12" i="4"/>
  <c r="K16" i="14"/>
  <c r="M16" i="14"/>
  <c r="M15" i="13"/>
  <c r="AC26" i="17"/>
  <c r="B17" i="10" s="1"/>
  <c r="D15" i="10" l="1"/>
  <c r="C17" i="10"/>
  <c r="B19" i="14"/>
  <c r="B18" i="13"/>
  <c r="N16" i="14"/>
  <c r="K16" i="13"/>
  <c r="J16" i="13"/>
  <c r="I16" i="13"/>
  <c r="H16" i="13"/>
  <c r="E15" i="4"/>
  <c r="D17" i="2"/>
  <c r="O12" i="3"/>
  <c r="F17" i="14"/>
  <c r="E17" i="14"/>
  <c r="G17" i="14"/>
  <c r="C17" i="14"/>
  <c r="D17" i="14"/>
  <c r="Q15" i="13"/>
  <c r="S15" i="13" s="1"/>
  <c r="D12" i="3"/>
  <c r="T42" i="8"/>
  <c r="D18" i="2"/>
  <c r="K18" i="2" s="1"/>
  <c r="E16" i="4"/>
  <c r="K20" i="11"/>
  <c r="K42" i="11" s="1"/>
  <c r="I16" i="15"/>
  <c r="I38" i="15" s="1"/>
  <c r="L20" i="11"/>
  <c r="J42" i="11"/>
  <c r="C14" i="15"/>
  <c r="L16" i="2"/>
  <c r="G14" i="3"/>
  <c r="E15" i="10"/>
  <c r="M15" i="15"/>
  <c r="AE26" i="17"/>
  <c r="C19" i="2" s="1"/>
  <c r="C16" i="10"/>
  <c r="B17" i="13"/>
  <c r="B18" i="14"/>
  <c r="S12" i="3"/>
  <c r="D13" i="3"/>
  <c r="Q13" i="3" s="1"/>
  <c r="S13" i="3"/>
  <c r="I14" i="4"/>
  <c r="Q12" i="15"/>
  <c r="N12" i="3"/>
  <c r="Q12" i="3" l="1"/>
  <c r="D17" i="10"/>
  <c r="D16" i="10"/>
  <c r="M16" i="15" s="1"/>
  <c r="E17" i="4"/>
  <c r="E38" i="4" s="1"/>
  <c r="D19" i="2"/>
  <c r="K19" i="2" s="1"/>
  <c r="C14" i="3"/>
  <c r="L17" i="14"/>
  <c r="M16" i="13"/>
  <c r="J17" i="13"/>
  <c r="N17" i="13" s="1"/>
  <c r="I17" i="13"/>
  <c r="O17" i="13" s="1"/>
  <c r="K17" i="13"/>
  <c r="P17" i="13" s="1"/>
  <c r="H17" i="13"/>
  <c r="M17" i="13" s="1"/>
  <c r="H16" i="4"/>
  <c r="F16" i="4"/>
  <c r="G16" i="4"/>
  <c r="M17" i="14"/>
  <c r="K17" i="2"/>
  <c r="N16" i="13"/>
  <c r="I18" i="13"/>
  <c r="O18" i="13" s="1"/>
  <c r="J18" i="13"/>
  <c r="N18" i="13" s="1"/>
  <c r="H18" i="13"/>
  <c r="M18" i="13" s="1"/>
  <c r="K18" i="13"/>
  <c r="P18" i="13" s="1"/>
  <c r="F18" i="14"/>
  <c r="L18" i="14" s="1"/>
  <c r="E18" i="14"/>
  <c r="K18" i="14" s="1"/>
  <c r="G18" i="14"/>
  <c r="M18" i="14" s="1"/>
  <c r="C18" i="14"/>
  <c r="I18" i="14" s="1"/>
  <c r="D18" i="14"/>
  <c r="J18" i="14" s="1"/>
  <c r="M15" i="3"/>
  <c r="G16" i="15"/>
  <c r="G38" i="15" s="1"/>
  <c r="V20" i="8"/>
  <c r="V42" i="8" s="1"/>
  <c r="W20" i="8"/>
  <c r="U42" i="8"/>
  <c r="J17" i="14"/>
  <c r="D14" i="15"/>
  <c r="J14" i="4"/>
  <c r="I16" i="3"/>
  <c r="I38" i="3" s="1"/>
  <c r="L42" i="11"/>
  <c r="C16" i="15"/>
  <c r="L18" i="2"/>
  <c r="O14" i="15"/>
  <c r="T15" i="13"/>
  <c r="K17" i="14"/>
  <c r="H15" i="4"/>
  <c r="F15" i="4"/>
  <c r="G15" i="4"/>
  <c r="P16" i="13"/>
  <c r="N14" i="15"/>
  <c r="O16" i="14"/>
  <c r="E19" i="14"/>
  <c r="K19" i="14" s="1"/>
  <c r="G19" i="14"/>
  <c r="M19" i="14" s="1"/>
  <c r="F19" i="14"/>
  <c r="L19" i="14" s="1"/>
  <c r="C19" i="14"/>
  <c r="I19" i="14" s="1"/>
  <c r="D19" i="14"/>
  <c r="J19" i="14" s="1"/>
  <c r="E17" i="10"/>
  <c r="M17" i="3" s="1"/>
  <c r="M17" i="15"/>
  <c r="I17" i="14"/>
  <c r="O16" i="13"/>
  <c r="D39" i="10" l="1"/>
  <c r="I39" i="13"/>
  <c r="Q14" i="15"/>
  <c r="E16" i="10"/>
  <c r="M16" i="3" s="1"/>
  <c r="M38" i="3" s="1"/>
  <c r="M38" i="15"/>
  <c r="H39" i="13"/>
  <c r="D40" i="2"/>
  <c r="S14" i="3"/>
  <c r="N17" i="14"/>
  <c r="N39" i="13"/>
  <c r="I16" i="4"/>
  <c r="O14" i="3"/>
  <c r="D14" i="3"/>
  <c r="N18" i="14"/>
  <c r="C17" i="15"/>
  <c r="L19" i="2"/>
  <c r="O39" i="13"/>
  <c r="K39" i="13"/>
  <c r="I15" i="4"/>
  <c r="L17" i="2"/>
  <c r="C15" i="15"/>
  <c r="K40" i="2"/>
  <c r="Q16" i="13"/>
  <c r="S16" i="13" s="1"/>
  <c r="M39" i="13"/>
  <c r="G17" i="4"/>
  <c r="H17" i="4"/>
  <c r="F17" i="4"/>
  <c r="N14" i="3"/>
  <c r="N19" i="14"/>
  <c r="P39" i="13"/>
  <c r="C16" i="3"/>
  <c r="G16" i="3"/>
  <c r="W42" i="8"/>
  <c r="Q18" i="13"/>
  <c r="S18" i="13" s="1"/>
  <c r="J39" i="13"/>
  <c r="Q17" i="13"/>
  <c r="S17" i="13" s="1"/>
  <c r="E39" i="10" l="1"/>
  <c r="Q14" i="3"/>
  <c r="G38" i="4"/>
  <c r="N17" i="15"/>
  <c r="O19" i="14"/>
  <c r="N17" i="3" s="1"/>
  <c r="O15" i="15"/>
  <c r="T16" i="13"/>
  <c r="S39" i="13"/>
  <c r="C15" i="3"/>
  <c r="L40" i="2"/>
  <c r="D15" i="15"/>
  <c r="J15" i="4"/>
  <c r="O17" i="15"/>
  <c r="T18" i="13"/>
  <c r="O17" i="3" s="1"/>
  <c r="C17" i="3"/>
  <c r="D16" i="15"/>
  <c r="J16" i="4"/>
  <c r="N15" i="15"/>
  <c r="O17" i="14"/>
  <c r="N40" i="14"/>
  <c r="I17" i="4"/>
  <c r="I38" i="4" s="1"/>
  <c r="O16" i="15"/>
  <c r="T17" i="13"/>
  <c r="O16" i="3" s="1"/>
  <c r="F38" i="4"/>
  <c r="H38" i="4"/>
  <c r="C38" i="15"/>
  <c r="N16" i="15"/>
  <c r="O18" i="14"/>
  <c r="N16" i="3" s="1"/>
  <c r="C38" i="3" l="1"/>
  <c r="Q15" i="15"/>
  <c r="Q16" i="15"/>
  <c r="O38" i="15"/>
  <c r="N15" i="3"/>
  <c r="N38" i="3" s="1"/>
  <c r="O40" i="14"/>
  <c r="D15" i="3"/>
  <c r="S15" i="3"/>
  <c r="D17" i="15"/>
  <c r="Q17" i="15" s="1"/>
  <c r="J17" i="4"/>
  <c r="N38" i="15"/>
  <c r="D16" i="3"/>
  <c r="Q16" i="3" s="1"/>
  <c r="S16" i="3"/>
  <c r="O15" i="3"/>
  <c r="O38" i="3" s="1"/>
  <c r="T39" i="13"/>
  <c r="Q15" i="3" l="1"/>
  <c r="Q38" i="15"/>
  <c r="D17" i="3"/>
  <c r="S17" i="3"/>
  <c r="S38" i="3" s="1"/>
  <c r="D38" i="15"/>
  <c r="J38" i="4"/>
  <c r="Q17" i="3" l="1"/>
  <c r="Q38" i="3" s="1"/>
  <c r="D38" i="3"/>
  <c r="S42" i="3"/>
  <c r="S40" i="3"/>
  <c r="P13" i="17"/>
</calcChain>
</file>

<file path=xl/sharedStrings.xml><?xml version="1.0" encoding="utf-8"?>
<sst xmlns="http://schemas.openxmlformats.org/spreadsheetml/2006/main" count="465" uniqueCount="259">
  <si>
    <t>Capital + O&amp;M Costs with Southport</t>
  </si>
  <si>
    <t>YEAR</t>
  </si>
  <si>
    <t>CAPITAL COST
VESSEL BERTH</t>
  </si>
  <si>
    <t>TOTAL COSTS
(UNDISCOUNTED)</t>
  </si>
  <si>
    <t>TOTAL COSTS 
(DISCOUNTED AT 7%)</t>
  </si>
  <si>
    <t>Year #</t>
  </si>
  <si>
    <t>Automobile Handling</t>
  </si>
  <si>
    <t>Vessel Hours Saved at Port</t>
  </si>
  <si>
    <t>Discounted</t>
  </si>
  <si>
    <t>Costs</t>
  </si>
  <si>
    <t>Undiscounted</t>
  </si>
  <si>
    <t>Benefits</t>
  </si>
  <si>
    <t>Total Undiscounted</t>
  </si>
  <si>
    <t>Residual Value</t>
  </si>
  <si>
    <t>BCR</t>
  </si>
  <si>
    <t>Hours</t>
  </si>
  <si>
    <t xml:space="preserve"> Fuel consumption per day (MT)</t>
  </si>
  <si>
    <t>Fuel consumption per hour (MT)</t>
  </si>
  <si>
    <t>NOx kg/MT</t>
  </si>
  <si>
    <t>NOx Kg/hour</t>
  </si>
  <si>
    <t>NOx MT/Hour</t>
  </si>
  <si>
    <t>VOC kg/MT</t>
  </si>
  <si>
    <t>VOC Kg/hour</t>
  </si>
  <si>
    <t>VOC MT/Hour</t>
  </si>
  <si>
    <t>PM kg/MT</t>
  </si>
  <si>
    <t>PM Kg/hour</t>
  </si>
  <si>
    <t>NOx per Hour</t>
  </si>
  <si>
    <t>VOC per Hour</t>
  </si>
  <si>
    <t>PM per Hour</t>
  </si>
  <si>
    <t>Vessel Hours</t>
  </si>
  <si>
    <t>NOx</t>
  </si>
  <si>
    <t>VOC</t>
  </si>
  <si>
    <t>PM</t>
  </si>
  <si>
    <t>Year</t>
  </si>
  <si>
    <t>Discount Factor</t>
  </si>
  <si>
    <t>Discount</t>
  </si>
  <si>
    <t>Discount Year</t>
  </si>
  <si>
    <t>Autos per Truck</t>
  </si>
  <si>
    <t>Demand</t>
  </si>
  <si>
    <t>Diverted</t>
  </si>
  <si>
    <t>VMT</t>
  </si>
  <si>
    <t>Truck</t>
  </si>
  <si>
    <t>Truck VMT</t>
  </si>
  <si>
    <t>Auto VMT</t>
  </si>
  <si>
    <r>
      <t xml:space="preserve">Annual Truck Emissions in grams / VMT
</t>
    </r>
    <r>
      <rPr>
        <i/>
        <sz val="11"/>
        <color theme="1"/>
        <rFont val="Calibri"/>
        <family val="2"/>
        <scheme val="minor"/>
      </rPr>
      <t>(Source: EPA Moves 2016)</t>
    </r>
  </si>
  <si>
    <t xml:space="preserve">Annual Emission Reductions in grams </t>
  </si>
  <si>
    <r>
      <t>Non-CO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 Reductions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</si>
  <si>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</si>
  <si>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SO</t>
    </r>
    <r>
      <rPr>
        <b/>
        <vertAlign val="subscript"/>
        <sz val="11"/>
        <color theme="1"/>
        <rFont val="Calibri"/>
        <family val="2"/>
      </rPr>
      <t>x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</si>
  <si>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</si>
  <si>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Gram to Ton Conversion Rate</t>
  </si>
  <si>
    <t>Total Truck Miles Reduced</t>
  </si>
  <si>
    <t>Total</t>
  </si>
  <si>
    <t>Rates per 100 Million VMT</t>
  </si>
  <si>
    <t>Annual Fatalities Avoided</t>
  </si>
  <si>
    <t>Annual Injuries Avoided</t>
  </si>
  <si>
    <t>Annual PDO Avoided</t>
  </si>
  <si>
    <t xml:space="preserve">Undiscounted </t>
  </si>
  <si>
    <t>Value per Risk Item</t>
  </si>
  <si>
    <t>Mileage</t>
  </si>
  <si>
    <t>Urban</t>
  </si>
  <si>
    <t>Rural</t>
  </si>
  <si>
    <t>Wtd Total</t>
  </si>
  <si>
    <t>Vehicle O&amp;M</t>
  </si>
  <si>
    <t>Pavement</t>
  </si>
  <si>
    <t>NPV</t>
  </si>
  <si>
    <t>NOX emissions</t>
  </si>
  <si>
    <t>SOX emissions</t>
  </si>
  <si>
    <t>PM10 emissions</t>
  </si>
  <si>
    <t>VOC emissions</t>
  </si>
  <si>
    <t>Grams/MT Conversion</t>
  </si>
  <si>
    <t>Emissions Values</t>
  </si>
  <si>
    <t>NOX costs Likely</t>
  </si>
  <si>
    <t>PM costs Likely</t>
  </si>
  <si>
    <t>SOX costs Likely</t>
  </si>
  <si>
    <t>VOC costs Likely</t>
  </si>
  <si>
    <t>Non CO2</t>
  </si>
  <si>
    <t>Fatalities</t>
  </si>
  <si>
    <t>Serious Inj</t>
  </si>
  <si>
    <t>Minor Inj</t>
  </si>
  <si>
    <t>Possible Inj</t>
  </si>
  <si>
    <t>Unknown</t>
  </si>
  <si>
    <t>Count</t>
  </si>
  <si>
    <t>Rate per VMT</t>
  </si>
  <si>
    <t>Savings</t>
  </si>
  <si>
    <t>Undisc</t>
  </si>
  <si>
    <t>Disc.</t>
  </si>
  <si>
    <t>Emissions</t>
  </si>
  <si>
    <t>Asset Serv. Life</t>
  </si>
  <si>
    <t>Pier 122 Handling</t>
  </si>
  <si>
    <t>Hour of Extra Time</t>
  </si>
  <si>
    <t>Empty Return Ratio</t>
  </si>
  <si>
    <t>(2017$)</t>
  </si>
  <si>
    <t>Total Benefits (2017$)</t>
  </si>
  <si>
    <t>Total Crash Savings (2017$)</t>
  </si>
  <si>
    <t>Injuries</t>
  </si>
  <si>
    <t>PDO</t>
  </si>
  <si>
    <t>Pvmt Damage/VMT (60 kip truck)</t>
  </si>
  <si>
    <t>PhilaPort Capacity</t>
  </si>
  <si>
    <t>Undiscounted Benefits</t>
  </si>
  <si>
    <t>Operating</t>
  </si>
  <si>
    <t>Vessel Env.</t>
  </si>
  <si>
    <t>Auto Operating</t>
  </si>
  <si>
    <t>Auto Safety</t>
  </si>
  <si>
    <t>Auto Emissions</t>
  </si>
  <si>
    <t>units/vessel</t>
  </si>
  <si>
    <t>Segment</t>
  </si>
  <si>
    <t>Distance (miles)</t>
  </si>
  <si>
    <t>Storage Share (Based on Acreage)</t>
  </si>
  <si>
    <t>PAMT - SP</t>
  </si>
  <si>
    <t>SP</t>
  </si>
  <si>
    <t>PAMT - 98</t>
  </si>
  <si>
    <t>P122 - SP</t>
  </si>
  <si>
    <t>P122 - 98</t>
  </si>
  <si>
    <t>SP - 98</t>
  </si>
  <si>
    <t>SP-SP</t>
  </si>
  <si>
    <t>Build</t>
  </si>
  <si>
    <t xml:space="preserve"> </t>
  </si>
  <si>
    <t>Volumes</t>
  </si>
  <si>
    <t>Berth Distribution</t>
  </si>
  <si>
    <t>Vessels</t>
  </si>
  <si>
    <t>Berth Units</t>
  </si>
  <si>
    <t>VPC Distribution</t>
  </si>
  <si>
    <t>VPC Units</t>
  </si>
  <si>
    <t>PAMT Traffic</t>
  </si>
  <si>
    <t>P122 Traffic</t>
  </si>
  <si>
    <t>SP Traffic</t>
  </si>
  <si>
    <t>CY</t>
  </si>
  <si>
    <t>YR</t>
  </si>
  <si>
    <t>Exisitg Units</t>
  </si>
  <si>
    <t xml:space="preserve">Export </t>
  </si>
  <si>
    <t>Import Intermodal</t>
  </si>
  <si>
    <t xml:space="preserve">Total </t>
  </si>
  <si>
    <t>PAMT</t>
  </si>
  <si>
    <t>P122</t>
  </si>
  <si>
    <t>SouthPort</t>
  </si>
  <si>
    <t>98 Annex</t>
  </si>
  <si>
    <t>Southport</t>
  </si>
  <si>
    <t>Handling</t>
  </si>
  <si>
    <t>Vessel Time</t>
  </si>
  <si>
    <t>Pier 122</t>
  </si>
  <si>
    <t>PAMT to 98 Annex</t>
  </si>
  <si>
    <t>PAMT to Southport</t>
  </si>
  <si>
    <t>P122 to 98 Annex</t>
  </si>
  <si>
    <t>P122 to Southport</t>
  </si>
  <si>
    <t>Distance (two-way)</t>
  </si>
  <si>
    <t>Avg. Speed (mph)</t>
  </si>
  <si>
    <t>Gang Size (#)</t>
  </si>
  <si>
    <t>Productivity (cars/hr)</t>
  </si>
  <si>
    <t>Call Size (cars/call)</t>
  </si>
  <si>
    <t>Vessel Time (hrs)</t>
  </si>
  <si>
    <t>Distance is taken as two-way distance. One way from Vessel to Storage, other from Storage to Vessel</t>
  </si>
  <si>
    <t>Variable</t>
  </si>
  <si>
    <t>Source</t>
  </si>
  <si>
    <t>Constant (Likely Case)</t>
  </si>
  <si>
    <t>Units</t>
  </si>
  <si>
    <t>Operating Benefits</t>
  </si>
  <si>
    <t>SP - SP Savings per Month</t>
  </si>
  <si>
    <t>PhilaPort</t>
  </si>
  <si>
    <t>Period Flag</t>
  </si>
  <si>
    <t>Benefit</t>
  </si>
  <si>
    <t>Vessel cost per hour at berth</t>
  </si>
  <si>
    <t>Estimate</t>
  </si>
  <si>
    <t>Pier 122 extra time</t>
  </si>
  <si>
    <t>Hours per RORO ship at Pier 122</t>
  </si>
  <si>
    <t>Discounted Benefits</t>
  </si>
  <si>
    <t>USDOT BCA Guidance Dec 2018</t>
  </si>
  <si>
    <t>Value of a Statistical Life Likely</t>
  </si>
  <si>
    <t>USDOT BCA Guidance</t>
  </si>
  <si>
    <t>Unknown if injured</t>
  </si>
  <si>
    <t>O - No Injury</t>
  </si>
  <si>
    <t>B - Non-incapacitating injury</t>
  </si>
  <si>
    <t>A - Incapacitating</t>
  </si>
  <si>
    <t>U - Injured severity unkown</t>
  </si>
  <si>
    <t>KABCO Scale</t>
  </si>
  <si>
    <t>MAIS Scale</t>
  </si>
  <si>
    <t>1 - Minor</t>
  </si>
  <si>
    <t>2 - Moderate</t>
  </si>
  <si>
    <t>3 - Serious Injury</t>
  </si>
  <si>
    <t>4 - Severe</t>
  </si>
  <si>
    <t>5 - Critical</t>
  </si>
  <si>
    <t>C - Possible injury</t>
  </si>
  <si>
    <t>Benefits end</t>
  </si>
  <si>
    <t>Benefits start year</t>
  </si>
  <si>
    <t>Vehicle Operating Cost</t>
  </si>
  <si>
    <t>CPIAUCSL</t>
  </si>
  <si>
    <t>CPI 2017 Average</t>
  </si>
  <si>
    <t>CPI 2018 Average</t>
  </si>
  <si>
    <t>2017 --&gt; 2018 Adjustment</t>
  </si>
  <si>
    <t>Delaware</t>
  </si>
  <si>
    <t>E</t>
  </si>
  <si>
    <t>Pennsylvania</t>
  </si>
  <si>
    <t>Connecticut</t>
  </si>
  <si>
    <t>N</t>
  </si>
  <si>
    <t>Maine</t>
  </si>
  <si>
    <t>Massachusetts</t>
  </si>
  <si>
    <t>New Hampshire</t>
  </si>
  <si>
    <t>New Jersey</t>
  </si>
  <si>
    <t>New York</t>
  </si>
  <si>
    <t>Rhode Island</t>
  </si>
  <si>
    <t>Vermont</t>
  </si>
  <si>
    <t>District of Columbia</t>
  </si>
  <si>
    <t>S</t>
  </si>
  <si>
    <t>Maryland</t>
  </si>
  <si>
    <t>Virginia</t>
  </si>
  <si>
    <t>State</t>
  </si>
  <si>
    <t>Relative to</t>
  </si>
  <si>
    <t>Baltimore/Philly</t>
  </si>
  <si>
    <t>Population</t>
  </si>
  <si>
    <t xml:space="preserve">Mileage chg if </t>
  </si>
  <si>
    <t>Philly to Baltimore</t>
  </si>
  <si>
    <t>Weighting</t>
  </si>
  <si>
    <t>SP - 98 Annex</t>
  </si>
  <si>
    <t>Average extra Mileage from Baltimore</t>
  </si>
  <si>
    <t>Containers</t>
  </si>
  <si>
    <t>SOx</t>
  </si>
  <si>
    <t>Safety</t>
  </si>
  <si>
    <t>Dredging Cost</t>
  </si>
  <si>
    <t>Maint Dredging</t>
  </si>
  <si>
    <t>Avoided Pier 122</t>
  </si>
  <si>
    <t>Maintenance Dredge</t>
  </si>
  <si>
    <t>Capacity</t>
  </si>
  <si>
    <t>Incremental Capacity</t>
  </si>
  <si>
    <t>Average miles</t>
  </si>
  <si>
    <t>West Virginia</t>
  </si>
  <si>
    <t>Mileage Savings Serving Northeast from PhilaPort instead of Baltimore</t>
  </si>
  <si>
    <t>RoRo Truck Div.</t>
  </si>
  <si>
    <t>RoRo Truck Emissions</t>
  </si>
  <si>
    <t>RoRo Truck Safety</t>
  </si>
  <si>
    <t>RoRo Truck Pavement</t>
  </si>
  <si>
    <t>Cont. Truck Div.</t>
  </si>
  <si>
    <t>Cont. Truck Emissions</t>
  </si>
  <si>
    <t>Container Truck Safety</t>
  </si>
  <si>
    <t>Cont. Truck Pvmt</t>
  </si>
  <si>
    <t>Low Growth CAGR:</t>
  </si>
  <si>
    <t>Moderate Growth CAGR:</t>
  </si>
  <si>
    <t>High Growth CAGR:</t>
  </si>
  <si>
    <t>Max existing units capacity:</t>
  </si>
  <si>
    <t>Units/Vessel:</t>
  </si>
  <si>
    <t>Future Units/Vessel</t>
  </si>
  <si>
    <t>Export  Intermodal</t>
  </si>
  <si>
    <t>New OEM</t>
  </si>
  <si>
    <t>Initial Growth</t>
  </si>
  <si>
    <t>Increase from Southport Storage</t>
  </si>
  <si>
    <t>Truck cost per mile to Northeast</t>
  </si>
  <si>
    <t>Trucking cost premium for first five years per vehicle</t>
  </si>
  <si>
    <t>Extra mileage for first five years</t>
  </si>
  <si>
    <t>$2017</t>
  </si>
  <si>
    <t>USACE indexed to $2017</t>
  </si>
  <si>
    <t>2017$ / metric ton</t>
  </si>
  <si>
    <t>2017$ per Incident</t>
  </si>
  <si>
    <t>2017$ per vehicle</t>
  </si>
  <si>
    <t>First 5 years</t>
  </si>
  <si>
    <t>$2017 Cost per MT</t>
  </si>
  <si>
    <r>
      <t xml:space="preserve">Value of Annual Emission Reductions (2017$)
</t>
    </r>
    <r>
      <rPr>
        <i/>
        <sz val="11"/>
        <color theme="1"/>
        <rFont val="Calibri"/>
        <family val="2"/>
        <scheme val="minor"/>
      </rPr>
      <t>(Source: US DOT, TIGER/INFRA Guide 2018)</t>
    </r>
  </si>
  <si>
    <t>New units/vessel</t>
  </si>
  <si>
    <t>Vessel Berth Time</t>
  </si>
  <si>
    <t>Savings Vessel Berth Time</t>
  </si>
  <si>
    <t>Savings VMT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</si>
</sst>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"/>
    <numFmt numFmtId="167" formatCode="&quot;$&quot;#,##0.00"/>
    <numFmt numFmtId="168" formatCode="#,##0.0000_);\(#,##0.0000\);&quot;-  &quot;;&quot; &quot;@"/>
    <numFmt numFmtId="169" formatCode="#,##0.000_);\(#,##0.000\);&quot;-  &quot;;&quot; &quot;@"/>
    <numFmt numFmtId="170" formatCode="#,##0_);\(#,##0\);&quot;-  &quot;;&quot; &quot;@"/>
    <numFmt numFmtId="171" formatCode="#,##0.00_);\(#,##0.00\);&quot;-  &quot;;&quot; &quot;@"/>
    <numFmt numFmtId="172" formatCode="#,##0.0_);\(#,##0.0\)"/>
    <numFmt numFmtId="173" formatCode="#,##0.000000000000000_);\(#,##0.000000000000000\)"/>
    <numFmt numFmtId="174" formatCode="0.000"/>
    <numFmt numFmtId="175" formatCode="0.0"/>
    <numFmt numFmtId="176" formatCode="0_);[Red]\(0\)"/>
    <numFmt numFmtId="177" formatCode="0.0%"/>
    <numFmt numFmtId="178" formatCode="0.0_);[Red]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DashDotDot">
        <color auto="1"/>
      </bottom>
      <diagonal/>
    </border>
    <border>
      <left/>
      <right style="medium">
        <color indexed="64"/>
      </right>
      <top/>
      <bottom style="mediumDashDotDot">
        <color auto="1"/>
      </bottom>
      <diagonal/>
    </border>
    <border>
      <left style="medium">
        <color indexed="64"/>
      </left>
      <right/>
      <top/>
      <bottom style="mediumDashDotDot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auto="1"/>
      </bottom>
      <diagonal/>
    </border>
    <border>
      <left style="thin">
        <color indexed="64"/>
      </left>
      <right/>
      <top/>
      <bottom style="mediumDashDotDot">
        <color auto="1"/>
      </bottom>
      <diagonal/>
    </border>
    <border>
      <left/>
      <right style="thin">
        <color indexed="64"/>
      </right>
      <top/>
      <bottom style="mediumDashDotDot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Border="1"/>
    <xf numFmtId="0" fontId="2" fillId="0" borderId="1" xfId="0" applyFont="1" applyBorder="1" applyAlignment="1"/>
    <xf numFmtId="0" fontId="2" fillId="0" borderId="2" xfId="0" applyFont="1" applyBorder="1" applyAlignment="1">
      <alignment vertical="center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164" fontId="3" fillId="0" borderId="6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5" xfId="0" applyFont="1" applyBorder="1"/>
    <xf numFmtId="164" fontId="3" fillId="0" borderId="6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0" fillId="0" borderId="0" xfId="0" applyFill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Continuous"/>
    </xf>
    <xf numFmtId="164" fontId="0" fillId="0" borderId="0" xfId="0" applyNumberFormat="1"/>
    <xf numFmtId="5" fontId="0" fillId="0" borderId="0" xfId="0" applyNumberFormat="1"/>
    <xf numFmtId="9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41" fontId="0" fillId="0" borderId="0" xfId="0" applyNumberFormat="1"/>
    <xf numFmtId="37" fontId="0" fillId="0" borderId="0" xfId="0" applyNumberFormat="1"/>
    <xf numFmtId="9" fontId="0" fillId="0" borderId="0" xfId="3" applyFont="1"/>
    <xf numFmtId="43" fontId="0" fillId="0" borderId="0" xfId="0" applyNumberFormat="1"/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6" fontId="4" fillId="2" borderId="18" xfId="0" applyNumberFormat="1" applyFont="1" applyFill="1" applyBorder="1" applyAlignment="1">
      <alignment horizontal="center"/>
    </xf>
    <xf numFmtId="6" fontId="4" fillId="2" borderId="6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6" fontId="4" fillId="3" borderId="6" xfId="0" applyNumberFormat="1" applyFont="1" applyFill="1" applyBorder="1" applyAlignment="1">
      <alignment horizontal="center"/>
    </xf>
    <xf numFmtId="9" fontId="4" fillId="2" borderId="19" xfId="3" applyFont="1" applyFill="1" applyBorder="1" applyAlignment="1">
      <alignment horizontal="center" vertical="center"/>
    </xf>
    <xf numFmtId="9" fontId="4" fillId="2" borderId="23" xfId="3" applyFont="1" applyFill="1" applyBorder="1" applyAlignment="1">
      <alignment horizontal="center" vertical="center"/>
    </xf>
    <xf numFmtId="43" fontId="0" fillId="4" borderId="6" xfId="1" applyNumberFormat="1" applyFont="1" applyFill="1" applyBorder="1" applyAlignment="1">
      <alignment horizontal="center"/>
    </xf>
    <xf numFmtId="164" fontId="0" fillId="4" borderId="6" xfId="1" applyNumberFormat="1" applyFont="1" applyFill="1" applyBorder="1"/>
    <xf numFmtId="6" fontId="0" fillId="4" borderId="6" xfId="1" applyNumberFormat="1" applyFont="1" applyFill="1" applyBorder="1" applyAlignment="1">
      <alignment horizontal="center"/>
    </xf>
    <xf numFmtId="165" fontId="0" fillId="4" borderId="6" xfId="4" applyNumberFormat="1" applyFont="1" applyFill="1" applyBorder="1"/>
    <xf numFmtId="165" fontId="0" fillId="4" borderId="7" xfId="4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164" fontId="4" fillId="2" borderId="9" xfId="1" applyNumberFormat="1" applyFont="1" applyFill="1" applyBorder="1" applyAlignment="1">
      <alignment horizontal="center"/>
    </xf>
    <xf numFmtId="6" fontId="4" fillId="2" borderId="9" xfId="1" applyNumberFormat="1" applyFont="1" applyFill="1" applyBorder="1" applyAlignment="1">
      <alignment horizontal="center"/>
    </xf>
    <xf numFmtId="165" fontId="4" fillId="5" borderId="9" xfId="4" applyNumberFormat="1" applyFont="1" applyFill="1" applyBorder="1"/>
    <xf numFmtId="0" fontId="4" fillId="2" borderId="34" xfId="0" applyFont="1" applyFill="1" applyBorder="1" applyAlignment="1">
      <alignment horizontal="center"/>
    </xf>
    <xf numFmtId="0" fontId="9" fillId="3" borderId="34" xfId="0" applyFont="1" applyFill="1" applyBorder="1"/>
    <xf numFmtId="9" fontId="4" fillId="2" borderId="34" xfId="0" applyNumberFormat="1" applyFont="1" applyFill="1" applyBorder="1" applyAlignment="1">
      <alignment horizontal="center"/>
    </xf>
    <xf numFmtId="9" fontId="4" fillId="2" borderId="44" xfId="0" applyNumberFormat="1" applyFont="1" applyFill="1" applyBorder="1" applyAlignment="1">
      <alignment horizontal="center"/>
    </xf>
    <xf numFmtId="164" fontId="0" fillId="4" borderId="34" xfId="1" applyNumberFormat="1" applyFont="1" applyFill="1" applyBorder="1" applyAlignment="1">
      <alignment horizontal="center"/>
    </xf>
    <xf numFmtId="43" fontId="1" fillId="4" borderId="34" xfId="1" applyNumberFormat="1" applyFont="1" applyFill="1" applyBorder="1"/>
    <xf numFmtId="165" fontId="0" fillId="4" borderId="34" xfId="4" applyNumberFormat="1" applyFont="1" applyFill="1" applyBorder="1"/>
    <xf numFmtId="0" fontId="0" fillId="2" borderId="46" xfId="0" applyFill="1" applyBorder="1" applyAlignment="1">
      <alignment horizontal="center"/>
    </xf>
    <xf numFmtId="164" fontId="4" fillId="2" borderId="47" xfId="1" applyNumberFormat="1" applyFont="1" applyFill="1" applyBorder="1"/>
    <xf numFmtId="165" fontId="4" fillId="2" borderId="47" xfId="4" applyNumberFormat="1" applyFont="1" applyFill="1" applyBorder="1"/>
    <xf numFmtId="0" fontId="4" fillId="2" borderId="39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5" fontId="1" fillId="4" borderId="34" xfId="1" applyNumberFormat="1" applyFont="1" applyFill="1" applyBorder="1"/>
    <xf numFmtId="1" fontId="0" fillId="4" borderId="45" xfId="0" quotePrefix="1" applyNumberFormat="1" applyFill="1" applyBorder="1" applyAlignment="1">
      <alignment horizontal="center"/>
    </xf>
    <xf numFmtId="169" fontId="0" fillId="6" borderId="0" xfId="5" applyNumberFormat="1" applyFont="1" applyFill="1"/>
    <xf numFmtId="170" fontId="0" fillId="0" borderId="0" xfId="0" applyNumberFormat="1"/>
    <xf numFmtId="171" fontId="0" fillId="0" borderId="0" xfId="0" applyNumberFormat="1"/>
    <xf numFmtId="44" fontId="0" fillId="0" borderId="0" xfId="4" applyFont="1"/>
    <xf numFmtId="4" fontId="0" fillId="0" borderId="0" xfId="0" applyNumberFormat="1"/>
    <xf numFmtId="1" fontId="0" fillId="0" borderId="0" xfId="0" applyNumberFormat="1"/>
    <xf numFmtId="41" fontId="4" fillId="0" borderId="0" xfId="0" applyNumberFormat="1" applyFont="1"/>
    <xf numFmtId="172" fontId="4" fillId="2" borderId="47" xfId="1" applyNumberFormat="1" applyFont="1" applyFill="1" applyBorder="1"/>
    <xf numFmtId="173" fontId="0" fillId="0" borderId="0" xfId="0" applyNumberFormat="1"/>
    <xf numFmtId="0" fontId="4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9" fontId="4" fillId="0" borderId="19" xfId="3" applyFont="1" applyFill="1" applyBorder="1" applyAlignment="1">
      <alignment horizontal="center" vertical="center"/>
    </xf>
    <xf numFmtId="9" fontId="4" fillId="0" borderId="23" xfId="3" applyFont="1" applyFill="1" applyBorder="1" applyAlignment="1">
      <alignment horizontal="center" vertical="center"/>
    </xf>
    <xf numFmtId="6" fontId="0" fillId="0" borderId="0" xfId="0" applyNumberFormat="1"/>
    <xf numFmtId="17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21" xfId="0" applyNumberFormat="1" applyBorder="1" applyAlignment="1">
      <alignment horizontal="centerContinuous"/>
    </xf>
    <xf numFmtId="165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164" fontId="4" fillId="0" borderId="34" xfId="1" applyNumberFormat="1" applyFont="1" applyBorder="1"/>
    <xf numFmtId="164" fontId="4" fillId="0" borderId="0" xfId="1" applyNumberFormat="1" applyFont="1" applyBorder="1"/>
    <xf numFmtId="175" fontId="0" fillId="0" borderId="0" xfId="0" applyNumberFormat="1"/>
    <xf numFmtId="0" fontId="0" fillId="0" borderId="0" xfId="0" applyFill="1"/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9" fontId="4" fillId="0" borderId="0" xfId="7" applyFont="1" applyAlignment="1">
      <alignment horizontal="center" vertical="center" wrapText="1"/>
    </xf>
    <xf numFmtId="9" fontId="4" fillId="0" borderId="41" xfId="7" applyFont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0" fillId="0" borderId="10" xfId="0" applyBorder="1"/>
    <xf numFmtId="0" fontId="4" fillId="0" borderId="35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2" quotePrefix="1" applyFont="1" applyBorder="1" applyAlignment="1">
      <alignment horizontal="center" vertical="center" wrapText="1"/>
    </xf>
    <xf numFmtId="0" fontId="4" fillId="0" borderId="51" xfId="2" quotePrefix="1" applyFont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 wrapText="1"/>
    </xf>
    <xf numFmtId="0" fontId="4" fillId="0" borderId="51" xfId="2" applyFont="1" applyFill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center" vertical="center" wrapText="1"/>
    </xf>
    <xf numFmtId="0" fontId="4" fillId="0" borderId="53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center" vertical="center" wrapText="1"/>
    </xf>
    <xf numFmtId="0" fontId="4" fillId="7" borderId="49" xfId="2" applyFont="1" applyFill="1" applyBorder="1" applyAlignment="1">
      <alignment horizontal="center" vertical="center" wrapText="1"/>
    </xf>
    <xf numFmtId="0" fontId="4" fillId="7" borderId="55" xfId="2" applyFont="1" applyFill="1" applyBorder="1" applyAlignment="1">
      <alignment horizontal="center" vertical="center" wrapText="1"/>
    </xf>
    <xf numFmtId="164" fontId="4" fillId="7" borderId="55" xfId="1" applyNumberFormat="1" applyFont="1" applyFill="1" applyBorder="1" applyAlignment="1">
      <alignment horizontal="center" vertical="center" wrapText="1"/>
    </xf>
    <xf numFmtId="0" fontId="4" fillId="7" borderId="56" xfId="2" applyFont="1" applyFill="1" applyBorder="1" applyAlignment="1">
      <alignment horizontal="center" vertical="center" wrapText="1"/>
    </xf>
    <xf numFmtId="164" fontId="4" fillId="7" borderId="57" xfId="6" applyNumberFormat="1" applyFont="1" applyFill="1" applyBorder="1"/>
    <xf numFmtId="0" fontId="9" fillId="7" borderId="58" xfId="0" applyFont="1" applyFill="1" applyBorder="1" applyAlignment="1">
      <alignment horizontal="right" vertical="center" wrapText="1"/>
    </xf>
    <xf numFmtId="9" fontId="4" fillId="7" borderId="56" xfId="3" applyFont="1" applyFill="1" applyBorder="1" applyAlignment="1">
      <alignment horizontal="right" vertical="center" wrapText="1"/>
    </xf>
    <xf numFmtId="9" fontId="4" fillId="7" borderId="55" xfId="3" quotePrefix="1" applyFont="1" applyFill="1" applyBorder="1" applyAlignment="1">
      <alignment horizontal="right" vertical="center" wrapText="1"/>
    </xf>
    <xf numFmtId="9" fontId="4" fillId="7" borderId="57" xfId="3" quotePrefix="1" applyFont="1" applyFill="1" applyBorder="1" applyAlignment="1">
      <alignment horizontal="center" vertical="center" wrapText="1"/>
    </xf>
    <xf numFmtId="0" fontId="4" fillId="7" borderId="56" xfId="0" applyFont="1" applyFill="1" applyBorder="1"/>
    <xf numFmtId="0" fontId="4" fillId="7" borderId="55" xfId="0" applyFont="1" applyFill="1" applyBorder="1"/>
    <xf numFmtId="0" fontId="4" fillId="7" borderId="57" xfId="0" applyFont="1" applyFill="1" applyBorder="1"/>
    <xf numFmtId="164" fontId="4" fillId="7" borderId="56" xfId="0" applyNumberFormat="1" applyFont="1" applyFill="1" applyBorder="1"/>
    <xf numFmtId="164" fontId="4" fillId="7" borderId="55" xfId="0" applyNumberFormat="1" applyFont="1" applyFill="1" applyBorder="1"/>
    <xf numFmtId="9" fontId="4" fillId="7" borderId="56" xfId="3" applyFont="1" applyFill="1" applyBorder="1"/>
    <xf numFmtId="9" fontId="4" fillId="7" borderId="57" xfId="3" applyNumberFormat="1" applyFont="1" applyFill="1" applyBorder="1"/>
    <xf numFmtId="164" fontId="4" fillId="7" borderId="56" xfId="1" applyNumberFormat="1" applyFont="1" applyFill="1" applyBorder="1"/>
    <xf numFmtId="0" fontId="4" fillId="7" borderId="50" xfId="0" applyFont="1" applyFill="1" applyBorder="1"/>
    <xf numFmtId="164" fontId="0" fillId="0" borderId="53" xfId="0" applyNumberFormat="1" applyFont="1" applyFill="1" applyBorder="1"/>
    <xf numFmtId="164" fontId="0" fillId="0" borderId="52" xfId="0" applyNumberFormat="1" applyFont="1" applyFill="1" applyBorder="1"/>
    <xf numFmtId="43" fontId="4" fillId="0" borderId="0" xfId="0" applyNumberFormat="1" applyFont="1"/>
    <xf numFmtId="0" fontId="0" fillId="7" borderId="52" xfId="0" applyFill="1" applyBorder="1" applyAlignment="1">
      <alignment horizontal="center"/>
    </xf>
    <xf numFmtId="0" fontId="1" fillId="7" borderId="0" xfId="2" applyFill="1" applyBorder="1" applyAlignment="1">
      <alignment horizontal="center"/>
    </xf>
    <xf numFmtId="164" fontId="1" fillId="7" borderId="0" xfId="6" applyNumberFormat="1" applyFont="1" applyFill="1" applyBorder="1"/>
    <xf numFmtId="164" fontId="1" fillId="7" borderId="35" xfId="6" applyNumberFormat="1" applyFont="1" applyFill="1" applyBorder="1"/>
    <xf numFmtId="164" fontId="1" fillId="7" borderId="51" xfId="6" applyNumberFormat="1" applyFont="1" applyFill="1" applyBorder="1"/>
    <xf numFmtId="164" fontId="12" fillId="7" borderId="33" xfId="0" applyNumberFormat="1" applyFont="1" applyFill="1" applyBorder="1"/>
    <xf numFmtId="9" fontId="1" fillId="7" borderId="35" xfId="3" applyFont="1" applyFill="1" applyBorder="1"/>
    <xf numFmtId="9" fontId="1" fillId="7" borderId="0" xfId="7" applyFont="1" applyFill="1" applyBorder="1"/>
    <xf numFmtId="9" fontId="1" fillId="7" borderId="51" xfId="7" applyFont="1" applyFill="1" applyBorder="1"/>
    <xf numFmtId="1" fontId="0" fillId="7" borderId="35" xfId="0" applyNumberFormat="1" applyFill="1" applyBorder="1"/>
    <xf numFmtId="1" fontId="0" fillId="7" borderId="0" xfId="0" applyNumberFormat="1" applyFill="1" applyBorder="1"/>
    <xf numFmtId="1" fontId="0" fillId="7" borderId="51" xfId="0" applyNumberFormat="1" applyFill="1" applyBorder="1"/>
    <xf numFmtId="164" fontId="0" fillId="7" borderId="35" xfId="0" applyNumberFormat="1" applyFill="1" applyBorder="1"/>
    <xf numFmtId="164" fontId="0" fillId="7" borderId="0" xfId="0" applyNumberFormat="1" applyFill="1" applyBorder="1"/>
    <xf numFmtId="9" fontId="0" fillId="7" borderId="35" xfId="3" applyFont="1" applyFill="1" applyBorder="1"/>
    <xf numFmtId="9" fontId="1" fillId="7" borderId="51" xfId="3" applyNumberFormat="1" applyFont="1" applyFill="1" applyBorder="1"/>
    <xf numFmtId="164" fontId="0" fillId="7" borderId="53" xfId="0" applyNumberFormat="1" applyFill="1" applyBorder="1"/>
    <xf numFmtId="164" fontId="4" fillId="0" borderId="52" xfId="0" applyNumberFormat="1" applyFont="1" applyFill="1" applyBorder="1"/>
    <xf numFmtId="0" fontId="0" fillId="0" borderId="53" xfId="0" applyFont="1" applyFill="1" applyBorder="1"/>
    <xf numFmtId="0" fontId="0" fillId="0" borderId="54" xfId="0" applyFill="1" applyBorder="1"/>
    <xf numFmtId="0" fontId="0" fillId="0" borderId="52" xfId="0" applyFill="1" applyBorder="1"/>
    <xf numFmtId="164" fontId="4" fillId="0" borderId="53" xfId="0" applyNumberFormat="1" applyFont="1" applyFill="1" applyBorder="1"/>
    <xf numFmtId="0" fontId="0" fillId="7" borderId="20" xfId="0" applyFill="1" applyBorder="1" applyAlignment="1">
      <alignment horizontal="center"/>
    </xf>
    <xf numFmtId="0" fontId="1" fillId="7" borderId="21" xfId="2" applyFill="1" applyBorder="1" applyAlignment="1">
      <alignment horizontal="center"/>
    </xf>
    <xf numFmtId="164" fontId="1" fillId="7" borderId="22" xfId="6" applyNumberFormat="1" applyFont="1" applyFill="1" applyBorder="1"/>
    <xf numFmtId="164" fontId="1" fillId="7" borderId="59" xfId="6" applyNumberFormat="1" applyFont="1" applyFill="1" applyBorder="1"/>
    <xf numFmtId="164" fontId="1" fillId="7" borderId="21" xfId="6" applyNumberFormat="1" applyFont="1" applyFill="1" applyBorder="1"/>
    <xf numFmtId="9" fontId="1" fillId="7" borderId="22" xfId="7" applyFont="1" applyFill="1" applyBorder="1"/>
    <xf numFmtId="1" fontId="0" fillId="7" borderId="59" xfId="0" applyNumberFormat="1" applyFill="1" applyBorder="1"/>
    <xf numFmtId="1" fontId="0" fillId="7" borderId="21" xfId="0" applyNumberFormat="1" applyFill="1" applyBorder="1"/>
    <xf numFmtId="1" fontId="0" fillId="7" borderId="22" xfId="0" applyNumberFormat="1" applyFill="1" applyBorder="1"/>
    <xf numFmtId="164" fontId="0" fillId="7" borderId="59" xfId="0" applyNumberFormat="1" applyFill="1" applyBorder="1"/>
    <xf numFmtId="164" fontId="0" fillId="7" borderId="21" xfId="0" applyNumberFormat="1" applyFill="1" applyBorder="1"/>
    <xf numFmtId="164" fontId="0" fillId="7" borderId="61" xfId="0" applyNumberFormat="1" applyFill="1" applyBorder="1"/>
    <xf numFmtId="0" fontId="1" fillId="0" borderId="0" xfId="2" applyFill="1" applyAlignment="1">
      <alignment horizontal="center"/>
    </xf>
    <xf numFmtId="164" fontId="1" fillId="0" borderId="0" xfId="6" applyNumberFormat="1" applyFont="1" applyFill="1"/>
    <xf numFmtId="164" fontId="13" fillId="0" borderId="35" xfId="6" applyNumberFormat="1" applyFont="1" applyFill="1" applyBorder="1"/>
    <xf numFmtId="164" fontId="13" fillId="0" borderId="0" xfId="6" applyNumberFormat="1" applyFont="1" applyFill="1" applyBorder="1"/>
    <xf numFmtId="164" fontId="1" fillId="0" borderId="51" xfId="6" applyNumberFormat="1" applyFont="1" applyFill="1" applyBorder="1"/>
    <xf numFmtId="164" fontId="12" fillId="0" borderId="33" xfId="0" applyNumberFormat="1" applyFont="1" applyFill="1" applyBorder="1"/>
    <xf numFmtId="9" fontId="1" fillId="0" borderId="35" xfId="3" applyFont="1" applyFill="1" applyBorder="1"/>
    <xf numFmtId="9" fontId="1" fillId="0" borderId="0" xfId="7" applyFont="1" applyFill="1" applyBorder="1"/>
    <xf numFmtId="9" fontId="1" fillId="0" borderId="51" xfId="7" applyFont="1" applyFill="1" applyBorder="1"/>
    <xf numFmtId="1" fontId="0" fillId="0" borderId="35" xfId="0" applyNumberFormat="1" applyFill="1" applyBorder="1"/>
    <xf numFmtId="1" fontId="0" fillId="0" borderId="0" xfId="0" applyNumberFormat="1" applyFill="1" applyBorder="1"/>
    <xf numFmtId="1" fontId="0" fillId="0" borderId="51" xfId="0" applyNumberFormat="1" applyFill="1" applyBorder="1"/>
    <xf numFmtId="164" fontId="0" fillId="0" borderId="35" xfId="0" applyNumberFormat="1" applyFill="1" applyBorder="1"/>
    <xf numFmtId="164" fontId="0" fillId="0" borderId="0" xfId="0" applyNumberFormat="1" applyFill="1" applyBorder="1"/>
    <xf numFmtId="9" fontId="1" fillId="0" borderId="51" xfId="3" applyNumberFormat="1" applyFont="1" applyFill="1" applyBorder="1"/>
    <xf numFmtId="164" fontId="0" fillId="0" borderId="51" xfId="0" applyNumberFormat="1" applyFill="1" applyBorder="1"/>
    <xf numFmtId="164" fontId="0" fillId="0" borderId="0" xfId="0" applyNumberFormat="1" applyFill="1"/>
    <xf numFmtId="37" fontId="4" fillId="0" borderId="0" xfId="0" applyNumberFormat="1" applyFont="1"/>
    <xf numFmtId="37" fontId="0" fillId="0" borderId="0" xfId="0" applyNumberFormat="1" applyFill="1"/>
    <xf numFmtId="0" fontId="0" fillId="0" borderId="0" xfId="0" applyAlignment="1"/>
    <xf numFmtId="0" fontId="12" fillId="0" borderId="0" xfId="0" applyFont="1" applyFill="1"/>
    <xf numFmtId="164" fontId="4" fillId="0" borderId="0" xfId="0" applyNumberFormat="1" applyFont="1"/>
    <xf numFmtId="3" fontId="0" fillId="0" borderId="0" xfId="0" applyNumberFormat="1" applyFill="1"/>
    <xf numFmtId="1" fontId="0" fillId="0" borderId="0" xfId="0" applyNumberFormat="1" applyFill="1"/>
    <xf numFmtId="43" fontId="0" fillId="8" borderId="0" xfId="0" applyNumberFormat="1" applyFill="1"/>
    <xf numFmtId="0" fontId="1" fillId="0" borderId="0" xfId="2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Fill="1"/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5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/>
    <xf numFmtId="176" fontId="0" fillId="0" borderId="0" xfId="0" quotePrefix="1" applyNumberFormat="1"/>
    <xf numFmtId="3" fontId="0" fillId="0" borderId="0" xfId="0" applyNumberFormat="1" applyAlignment="1">
      <alignment horizontal="centerContinuous"/>
    </xf>
    <xf numFmtId="0" fontId="0" fillId="0" borderId="62" xfId="0" applyBorder="1"/>
    <xf numFmtId="0" fontId="0" fillId="0" borderId="62" xfId="0" applyFill="1" applyBorder="1"/>
    <xf numFmtId="0" fontId="0" fillId="0" borderId="0" xfId="0" applyFill="1" applyBorder="1"/>
    <xf numFmtId="165" fontId="0" fillId="0" borderId="62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7" fontId="0" fillId="0" borderId="0" xfId="0" applyNumberFormat="1" applyFill="1" applyBorder="1"/>
    <xf numFmtId="174" fontId="0" fillId="0" borderId="62" xfId="0" applyNumberFormat="1" applyBorder="1"/>
    <xf numFmtId="10" fontId="0" fillId="0" borderId="62" xfId="3" applyNumberFormat="1" applyFont="1" applyBorder="1"/>
    <xf numFmtId="37" fontId="4" fillId="0" borderId="52" xfId="0" applyNumberFormat="1" applyFont="1" applyFill="1" applyBorder="1"/>
    <xf numFmtId="41" fontId="0" fillId="0" borderId="53" xfId="0" applyNumberFormat="1" applyFont="1" applyFill="1" applyBorder="1"/>
    <xf numFmtId="164" fontId="4" fillId="0" borderId="54" xfId="0" applyNumberFormat="1" applyFont="1" applyBorder="1"/>
    <xf numFmtId="43" fontId="4" fillId="0" borderId="54" xfId="0" applyNumberFormat="1" applyFont="1" applyBorder="1"/>
    <xf numFmtId="164" fontId="1" fillId="7" borderId="55" xfId="1" applyNumberFormat="1" applyFont="1" applyFill="1" applyBorder="1" applyAlignment="1">
      <alignment horizontal="center" vertical="center" wrapText="1"/>
    </xf>
    <xf numFmtId="41" fontId="0" fillId="0" borderId="52" xfId="0" applyNumberFormat="1" applyFont="1" applyFill="1" applyBorder="1"/>
    <xf numFmtId="3" fontId="0" fillId="0" borderId="0" xfId="0" applyNumberFormat="1" applyBorder="1"/>
    <xf numFmtId="3" fontId="4" fillId="0" borderId="0" xfId="2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41" fontId="4" fillId="0" borderId="54" xfId="0" applyNumberFormat="1" applyFont="1" applyBorder="1"/>
    <xf numFmtId="3" fontId="3" fillId="0" borderId="6" xfId="0" applyNumberFormat="1" applyFont="1" applyBorder="1" applyAlignment="1">
      <alignment horizontal="right"/>
    </xf>
    <xf numFmtId="37" fontId="0" fillId="0" borderId="0" xfId="0" applyNumberFormat="1" applyProtection="1">
      <protection locked="0"/>
    </xf>
    <xf numFmtId="0" fontId="4" fillId="0" borderId="0" xfId="0" applyFont="1" applyAlignment="1">
      <alignment horizontal="left"/>
    </xf>
    <xf numFmtId="164" fontId="12" fillId="0" borderId="0" xfId="1" applyNumberFormat="1" applyFont="1" applyBorder="1"/>
    <xf numFmtId="164" fontId="0" fillId="0" borderId="0" xfId="1" applyNumberFormat="1" applyFont="1"/>
    <xf numFmtId="0" fontId="1" fillId="0" borderId="49" xfId="2" applyFont="1" applyFill="1" applyBorder="1" applyAlignment="1">
      <alignment horizontal="center" vertical="center" wrapText="1"/>
    </xf>
    <xf numFmtId="0" fontId="1" fillId="0" borderId="55" xfId="2" applyFont="1" applyFill="1" applyBorder="1" applyAlignment="1">
      <alignment horizontal="center" vertical="center" wrapText="1"/>
    </xf>
    <xf numFmtId="164" fontId="1" fillId="0" borderId="55" xfId="1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164" fontId="14" fillId="0" borderId="0" xfId="6" applyNumberFormat="1" applyFont="1" applyFill="1" applyBorder="1"/>
    <xf numFmtId="0" fontId="0" fillId="0" borderId="49" xfId="0" applyFont="1" applyFill="1" applyBorder="1" applyAlignment="1">
      <alignment horizontal="center"/>
    </xf>
    <xf numFmtId="0" fontId="1" fillId="0" borderId="55" xfId="2" applyFont="1" applyFill="1" applyBorder="1" applyAlignment="1">
      <alignment horizontal="center"/>
    </xf>
    <xf numFmtId="164" fontId="1" fillId="0" borderId="57" xfId="6" applyNumberFormat="1" applyFont="1" applyFill="1" applyBorder="1"/>
    <xf numFmtId="0" fontId="0" fillId="0" borderId="21" xfId="0" applyFont="1" applyFill="1" applyBorder="1" applyAlignment="1">
      <alignment horizontal="center"/>
    </xf>
    <xf numFmtId="0" fontId="1" fillId="0" borderId="21" xfId="2" applyFont="1" applyFill="1" applyBorder="1" applyAlignment="1">
      <alignment horizontal="center"/>
    </xf>
    <xf numFmtId="164" fontId="1" fillId="0" borderId="22" xfId="1" applyNumberFormat="1" applyFont="1" applyFill="1" applyBorder="1"/>
    <xf numFmtId="0" fontId="1" fillId="0" borderId="0" xfId="2" applyFont="1" applyFill="1" applyBorder="1" applyAlignment="1">
      <alignment horizontal="center"/>
    </xf>
    <xf numFmtId="164" fontId="1" fillId="0" borderId="0" xfId="6" applyNumberFormat="1" applyFont="1" applyFill="1" applyBorder="1"/>
    <xf numFmtId="0" fontId="1" fillId="0" borderId="63" xfId="2" applyFont="1" applyFill="1" applyBorder="1" applyAlignment="1">
      <alignment horizontal="center"/>
    </xf>
    <xf numFmtId="164" fontId="1" fillId="0" borderId="64" xfId="6" applyNumberFormat="1" applyFont="1" applyFill="1" applyBorder="1"/>
    <xf numFmtId="0" fontId="0" fillId="0" borderId="0" xfId="0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6" applyNumberFormat="1" applyFont="1" applyFill="1" applyBorder="1"/>
    <xf numFmtId="164" fontId="12" fillId="0" borderId="35" xfId="6" applyNumberFormat="1" applyFont="1" applyFill="1" applyBorder="1"/>
    <xf numFmtId="164" fontId="12" fillId="0" borderId="0" xfId="6" applyNumberFormat="1" applyFont="1" applyFill="1" applyBorder="1"/>
    <xf numFmtId="164" fontId="12" fillId="0" borderId="37" xfId="6" applyNumberFormat="1" applyFont="1" applyFill="1" applyBorder="1"/>
    <xf numFmtId="164" fontId="12" fillId="0" borderId="1" xfId="6" applyNumberFormat="1" applyFont="1" applyFill="1" applyBorder="1"/>
    <xf numFmtId="164" fontId="12" fillId="0" borderId="60" xfId="0" applyNumberFormat="1" applyFont="1" applyFill="1" applyBorder="1"/>
    <xf numFmtId="164" fontId="12" fillId="0" borderId="43" xfId="0" applyNumberFormat="1" applyFont="1" applyFill="1" applyBorder="1"/>
    <xf numFmtId="9" fontId="1" fillId="0" borderId="56" xfId="3" applyFont="1" applyFill="1" applyBorder="1"/>
    <xf numFmtId="9" fontId="1" fillId="0" borderId="55" xfId="3" applyNumberFormat="1" applyFont="1" applyFill="1" applyBorder="1"/>
    <xf numFmtId="9" fontId="1" fillId="0" borderId="57" xfId="7" applyFont="1" applyFill="1" applyBorder="1"/>
    <xf numFmtId="9" fontId="1" fillId="0" borderId="59" xfId="3" applyFont="1" applyFill="1" applyBorder="1"/>
    <xf numFmtId="9" fontId="1" fillId="0" borderId="21" xfId="7" applyFont="1" applyFill="1" applyBorder="1"/>
    <xf numFmtId="9" fontId="1" fillId="0" borderId="22" xfId="7" applyFont="1" applyFill="1" applyBorder="1"/>
    <xf numFmtId="9" fontId="1" fillId="0" borderId="65" xfId="3" applyFont="1" applyFill="1" applyBorder="1"/>
    <xf numFmtId="9" fontId="1" fillId="0" borderId="63" xfId="7" applyFont="1" applyFill="1" applyBorder="1"/>
    <xf numFmtId="9" fontId="1" fillId="0" borderId="64" xfId="7" applyFont="1" applyFill="1" applyBorder="1"/>
    <xf numFmtId="9" fontId="1" fillId="0" borderId="37" xfId="3" applyFont="1" applyFill="1" applyBorder="1"/>
    <xf numFmtId="9" fontId="1" fillId="0" borderId="1" xfId="7" applyFont="1" applyFill="1" applyBorder="1"/>
    <xf numFmtId="9" fontId="1" fillId="0" borderId="66" xfId="7" applyFont="1" applyFill="1" applyBorder="1"/>
    <xf numFmtId="177" fontId="0" fillId="0" borderId="0" xfId="3" applyNumberFormat="1" applyFont="1"/>
    <xf numFmtId="164" fontId="0" fillId="0" borderId="0" xfId="0" applyNumberFormat="1" applyFont="1" applyFill="1" applyBorder="1"/>
    <xf numFmtId="164" fontId="0" fillId="0" borderId="51" xfId="0" applyNumberFormat="1" applyFont="1" applyFill="1" applyBorder="1"/>
    <xf numFmtId="164" fontId="0" fillId="0" borderId="1" xfId="0" applyNumberFormat="1" applyFont="1" applyFill="1" applyBorder="1"/>
    <xf numFmtId="164" fontId="0" fillId="0" borderId="66" xfId="0" applyNumberFormat="1" applyFill="1" applyBorder="1"/>
    <xf numFmtId="9" fontId="1" fillId="0" borderId="57" xfId="3" applyNumberFormat="1" applyFont="1" applyFill="1" applyBorder="1"/>
    <xf numFmtId="9" fontId="1" fillId="0" borderId="22" xfId="3" applyNumberFormat="1" applyFont="1" applyFill="1" applyBorder="1"/>
    <xf numFmtId="9" fontId="1" fillId="0" borderId="64" xfId="3" applyNumberFormat="1" applyFont="1" applyFill="1" applyBorder="1"/>
    <xf numFmtId="9" fontId="1" fillId="0" borderId="66" xfId="3" applyNumberFormat="1" applyFont="1" applyFill="1" applyBorder="1"/>
    <xf numFmtId="9" fontId="1" fillId="0" borderId="37" xfId="7" applyFont="1" applyFill="1" applyBorder="1"/>
    <xf numFmtId="0" fontId="4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2" xfId="0" applyFont="1" applyFill="1" applyBorder="1"/>
    <xf numFmtId="0" fontId="0" fillId="0" borderId="20" xfId="0" applyFont="1" applyFill="1" applyBorder="1"/>
    <xf numFmtId="164" fontId="0" fillId="0" borderId="61" xfId="0" applyNumberFormat="1" applyFont="1" applyFill="1" applyBorder="1"/>
    <xf numFmtId="0" fontId="0" fillId="0" borderId="52" xfId="0" applyFont="1" applyFill="1" applyBorder="1" applyAlignment="1">
      <alignment wrapText="1"/>
    </xf>
    <xf numFmtId="0" fontId="0" fillId="0" borderId="68" xfId="0" applyFont="1" applyFill="1" applyBorder="1" applyAlignment="1">
      <alignment wrapText="1"/>
    </xf>
    <xf numFmtId="164" fontId="0" fillId="0" borderId="69" xfId="0" applyNumberFormat="1" applyFont="1" applyFill="1" applyBorder="1"/>
    <xf numFmtId="0" fontId="0" fillId="0" borderId="20" xfId="0" applyFill="1" applyBorder="1"/>
    <xf numFmtId="0" fontId="0" fillId="0" borderId="54" xfId="0" applyFont="1" applyFill="1" applyBorder="1"/>
    <xf numFmtId="0" fontId="0" fillId="0" borderId="61" xfId="0" applyFont="1" applyFill="1" applyBorder="1"/>
    <xf numFmtId="0" fontId="0" fillId="0" borderId="19" xfId="0" applyFont="1" applyFill="1" applyBorder="1"/>
    <xf numFmtId="164" fontId="0" fillId="0" borderId="54" xfId="0" applyNumberFormat="1" applyFont="1" applyFill="1" applyBorder="1"/>
    <xf numFmtId="164" fontId="0" fillId="0" borderId="67" xfId="0" applyNumberFormat="1" applyFont="1" applyFill="1" applyBorder="1"/>
    <xf numFmtId="164" fontId="0" fillId="0" borderId="19" xfId="0" applyNumberFormat="1" applyFont="1" applyFill="1" applyBorder="1"/>
    <xf numFmtId="164" fontId="0" fillId="0" borderId="35" xfId="0" applyNumberFormat="1" applyFont="1" applyFill="1" applyBorder="1"/>
    <xf numFmtId="164" fontId="0" fillId="0" borderId="37" xfId="0" applyNumberFormat="1" applyFont="1" applyFill="1" applyBorder="1"/>
    <xf numFmtId="164" fontId="14" fillId="0" borderId="33" xfId="0" applyNumberFormat="1" applyFont="1" applyFill="1" applyBorder="1"/>
    <xf numFmtId="9" fontId="14" fillId="0" borderId="35" xfId="3" applyFont="1" applyFill="1" applyBorder="1"/>
    <xf numFmtId="9" fontId="1" fillId="0" borderId="0" xfId="3" applyNumberFormat="1" applyFont="1" applyFill="1" applyBorder="1"/>
    <xf numFmtId="9" fontId="14" fillId="0" borderId="51" xfId="7" applyFont="1" applyFill="1" applyBorder="1"/>
    <xf numFmtId="164" fontId="12" fillId="0" borderId="58" xfId="0" applyNumberFormat="1" applyFont="1" applyFill="1" applyBorder="1"/>
    <xf numFmtId="164" fontId="1" fillId="0" borderId="22" xfId="6" applyNumberFormat="1" applyFont="1" applyFill="1" applyBorder="1"/>
    <xf numFmtId="164" fontId="12" fillId="0" borderId="51" xfId="6" applyNumberFormat="1" applyFont="1" applyFill="1" applyBorder="1"/>
    <xf numFmtId="164" fontId="12" fillId="0" borderId="66" xfId="6" applyNumberFormat="1" applyFont="1" applyFill="1" applyBorder="1"/>
    <xf numFmtId="1" fontId="14" fillId="0" borderId="35" xfId="0" applyNumberFormat="1" applyFont="1" applyFill="1" applyBorder="1"/>
    <xf numFmtId="1" fontId="14" fillId="0" borderId="0" xfId="0" applyNumberFormat="1" applyFont="1" applyFill="1" applyBorder="1"/>
    <xf numFmtId="1" fontId="14" fillId="0" borderId="51" xfId="0" applyNumberFormat="1" applyFont="1" applyFill="1" applyBorder="1"/>
    <xf numFmtId="164" fontId="14" fillId="0" borderId="35" xfId="0" applyNumberFormat="1" applyFont="1" applyFill="1" applyBorder="1"/>
    <xf numFmtId="164" fontId="14" fillId="0" borderId="0" xfId="0" applyNumberFormat="1" applyFont="1" applyFill="1" applyBorder="1"/>
    <xf numFmtId="9" fontId="14" fillId="0" borderId="51" xfId="3" applyNumberFormat="1" applyFont="1" applyFill="1" applyBorder="1"/>
    <xf numFmtId="0" fontId="0" fillId="0" borderId="49" xfId="0" applyFont="1" applyFill="1" applyBorder="1"/>
    <xf numFmtId="164" fontId="0" fillId="0" borderId="50" xfId="0" applyNumberFormat="1" applyFont="1" applyFill="1" applyBorder="1"/>
    <xf numFmtId="164" fontId="0" fillId="0" borderId="49" xfId="0" applyNumberFormat="1" applyFont="1" applyFill="1" applyBorder="1"/>
    <xf numFmtId="0" fontId="0" fillId="0" borderId="50" xfId="0" applyFont="1" applyFill="1" applyBorder="1"/>
    <xf numFmtId="0" fontId="0" fillId="0" borderId="10" xfId="0" applyFont="1" applyFill="1" applyBorder="1"/>
    <xf numFmtId="0" fontId="14" fillId="0" borderId="20" xfId="0" applyFont="1" applyFill="1" applyBorder="1"/>
    <xf numFmtId="164" fontId="0" fillId="0" borderId="20" xfId="0" applyNumberFormat="1" applyFont="1" applyFill="1" applyBorder="1"/>
    <xf numFmtId="0" fontId="14" fillId="0" borderId="61" xfId="0" applyFont="1" applyFill="1" applyBorder="1"/>
    <xf numFmtId="0" fontId="14" fillId="0" borderId="19" xfId="0" applyFont="1" applyFill="1" applyBorder="1"/>
    <xf numFmtId="0" fontId="0" fillId="0" borderId="49" xfId="0" applyFont="1" applyFill="1" applyBorder="1" applyAlignment="1">
      <alignment wrapText="1"/>
    </xf>
    <xf numFmtId="0" fontId="0" fillId="0" borderId="53" xfId="0" applyFill="1" applyBorder="1"/>
    <xf numFmtId="0" fontId="0" fillId="0" borderId="61" xfId="0" applyFill="1" applyBorder="1"/>
    <xf numFmtId="0" fontId="0" fillId="0" borderId="19" xfId="0" applyFill="1" applyBorder="1"/>
    <xf numFmtId="178" fontId="0" fillId="0" borderId="0" xfId="0" applyNumberFormat="1"/>
    <xf numFmtId="7" fontId="0" fillId="0" borderId="0" xfId="0" applyNumberForma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6" fontId="4" fillId="2" borderId="11" xfId="0" applyNumberFormat="1" applyFont="1" applyFill="1" applyBorder="1" applyAlignment="1">
      <alignment horizontal="center" vertical="center" wrapText="1"/>
    </xf>
    <xf numFmtId="6" fontId="4" fillId="2" borderId="12" xfId="0" applyNumberFormat="1" applyFont="1" applyFill="1" applyBorder="1" applyAlignment="1">
      <alignment horizontal="center" vertical="center" wrapText="1"/>
    </xf>
    <xf numFmtId="6" fontId="4" fillId="2" borderId="1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6" fontId="9" fillId="2" borderId="39" xfId="0" quotePrefix="1" applyNumberFormat="1" applyFont="1" applyFill="1" applyBorder="1" applyAlignment="1">
      <alignment horizontal="center"/>
    </xf>
    <xf numFmtId="6" fontId="9" fillId="2" borderId="43" xfId="0" quotePrefix="1" applyNumberFormat="1" applyFont="1" applyFill="1" applyBorder="1" applyAlignment="1">
      <alignment horizontal="center"/>
    </xf>
    <xf numFmtId="6" fontId="9" fillId="2" borderId="40" xfId="0" quotePrefix="1" applyNumberFormat="1" applyFont="1" applyFill="1" applyBorder="1" applyAlignment="1">
      <alignment horizontal="center"/>
    </xf>
    <xf numFmtId="6" fontId="9" fillId="2" borderId="41" xfId="0" quotePrefix="1" applyNumberFormat="1" applyFont="1" applyFill="1" applyBorder="1" applyAlignment="1">
      <alignment horizontal="center"/>
    </xf>
    <xf numFmtId="9" fontId="4" fillId="0" borderId="40" xfId="7" applyFont="1" applyBorder="1" applyAlignment="1">
      <alignment horizontal="center" vertical="center" wrapText="1"/>
    </xf>
    <xf numFmtId="9" fontId="4" fillId="0" borderId="48" xfId="7" applyFont="1" applyBorder="1" applyAlignment="1">
      <alignment horizontal="center" vertical="center" wrapText="1"/>
    </xf>
    <xf numFmtId="9" fontId="4" fillId="0" borderId="41" xfId="7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Comma" xfId="1" builtinId="3"/>
    <cellStyle name="Comma 2" xfId="6"/>
    <cellStyle name="Currency" xfId="4" builtinId="4"/>
    <cellStyle name="Factor" xfId="5"/>
    <cellStyle name="Normal" xfId="0" builtinId="0"/>
    <cellStyle name="Normal 3" xfId="2"/>
    <cellStyle name="Percent" xfId="3" builtinId="5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workbookViewId="0">
      <selection activeCell="D10" sqref="D10"/>
    </sheetView>
  </sheetViews>
  <sheetFormatPr defaultRowHeight="15" x14ac:dyDescent="0.25"/>
  <cols>
    <col min="1" max="1" width="4.85546875" customWidth="1"/>
    <col min="2" max="2" width="23.5703125" customWidth="1"/>
    <col min="3" max="3" width="21.5703125" customWidth="1"/>
    <col min="4" max="4" width="19.85546875" customWidth="1"/>
    <col min="5" max="5" width="15.5703125" customWidth="1"/>
  </cols>
  <sheetData>
    <row r="1" spans="1:5" ht="30" x14ac:dyDescent="0.25">
      <c r="B1" s="48" t="s">
        <v>152</v>
      </c>
      <c r="C1" s="48" t="s">
        <v>153</v>
      </c>
      <c r="D1" s="195" t="s">
        <v>154</v>
      </c>
      <c r="E1" s="48" t="s">
        <v>155</v>
      </c>
    </row>
    <row r="3" spans="1:5" x14ac:dyDescent="0.25">
      <c r="A3" s="196" t="s">
        <v>156</v>
      </c>
    </row>
    <row r="5" spans="1:5" x14ac:dyDescent="0.25">
      <c r="B5" t="s">
        <v>157</v>
      </c>
      <c r="C5" t="s">
        <v>158</v>
      </c>
      <c r="D5" s="18">
        <v>250000</v>
      </c>
      <c r="E5" s="197" t="s">
        <v>247</v>
      </c>
    </row>
    <row r="6" spans="1:5" x14ac:dyDescent="0.25">
      <c r="B6" t="s">
        <v>161</v>
      </c>
      <c r="C6" t="s">
        <v>248</v>
      </c>
      <c r="D6" s="18">
        <f>526*1.3338</f>
        <v>701.5788</v>
      </c>
      <c r="E6" s="197" t="s">
        <v>247</v>
      </c>
    </row>
    <row r="7" spans="1:5" x14ac:dyDescent="0.25">
      <c r="B7" t="s">
        <v>163</v>
      </c>
      <c r="C7" t="s">
        <v>162</v>
      </c>
      <c r="D7">
        <v>1</v>
      </c>
      <c r="E7" t="s">
        <v>164</v>
      </c>
    </row>
    <row r="9" spans="1:5" x14ac:dyDescent="0.25">
      <c r="B9" t="s">
        <v>72</v>
      </c>
      <c r="C9" t="s">
        <v>166</v>
      </c>
      <c r="D9" s="18">
        <f>9142.45</f>
        <v>9142.4500000000007</v>
      </c>
      <c r="E9" t="s">
        <v>249</v>
      </c>
    </row>
    <row r="10" spans="1:5" x14ac:dyDescent="0.25">
      <c r="B10" t="s">
        <v>73</v>
      </c>
      <c r="C10" t="s">
        <v>166</v>
      </c>
      <c r="D10" s="18">
        <f>416146.7</f>
        <v>416146.7</v>
      </c>
      <c r="E10" t="s">
        <v>249</v>
      </c>
    </row>
    <row r="11" spans="1:5" x14ac:dyDescent="0.25">
      <c r="B11" t="s">
        <v>74</v>
      </c>
      <c r="C11" t="s">
        <v>166</v>
      </c>
      <c r="D11" s="18">
        <f>53863.35</f>
        <v>53863.35</v>
      </c>
      <c r="E11" t="s">
        <v>249</v>
      </c>
    </row>
    <row r="12" spans="1:5" x14ac:dyDescent="0.25">
      <c r="B12" t="s">
        <v>75</v>
      </c>
      <c r="C12" t="s">
        <v>166</v>
      </c>
      <c r="D12" s="18">
        <f>2203</f>
        <v>2203</v>
      </c>
      <c r="E12" t="s">
        <v>249</v>
      </c>
    </row>
    <row r="13" spans="1:5" x14ac:dyDescent="0.25">
      <c r="D13" s="18"/>
    </row>
    <row r="14" spans="1:5" x14ac:dyDescent="0.25">
      <c r="D14" s="18"/>
    </row>
    <row r="15" spans="1:5" x14ac:dyDescent="0.25">
      <c r="B15" s="199" t="s">
        <v>167</v>
      </c>
      <c r="C15" s="200" t="s">
        <v>166</v>
      </c>
      <c r="D15" s="202">
        <f>9600000</f>
        <v>9600000</v>
      </c>
      <c r="E15" s="199" t="s">
        <v>250</v>
      </c>
    </row>
    <row r="16" spans="1:5" x14ac:dyDescent="0.25">
      <c r="B16" s="201" t="s">
        <v>96</v>
      </c>
      <c r="C16" s="201" t="s">
        <v>168</v>
      </c>
      <c r="D16" s="18">
        <f>4300</f>
        <v>4300</v>
      </c>
      <c r="E16" s="199" t="s">
        <v>251</v>
      </c>
    </row>
    <row r="17" spans="1:5" x14ac:dyDescent="0.25">
      <c r="A17" t="s">
        <v>174</v>
      </c>
      <c r="B17" s="201"/>
      <c r="C17" s="201"/>
      <c r="D17" s="18"/>
      <c r="E17" s="199"/>
    </row>
    <row r="18" spans="1:5" x14ac:dyDescent="0.25">
      <c r="B18" s="201" t="s">
        <v>170</v>
      </c>
      <c r="C18" s="201" t="s">
        <v>168</v>
      </c>
      <c r="D18" s="18">
        <f>3200</f>
        <v>3200</v>
      </c>
      <c r="E18" s="199" t="s">
        <v>250</v>
      </c>
    </row>
    <row r="19" spans="1:5" x14ac:dyDescent="0.25">
      <c r="B19" s="201" t="s">
        <v>181</v>
      </c>
      <c r="C19" s="201" t="s">
        <v>168</v>
      </c>
      <c r="D19" s="18">
        <f>63900</f>
        <v>63900</v>
      </c>
      <c r="E19" s="199" t="s">
        <v>250</v>
      </c>
    </row>
    <row r="20" spans="1:5" x14ac:dyDescent="0.25">
      <c r="B20" s="201" t="s">
        <v>171</v>
      </c>
      <c r="C20" s="201" t="s">
        <v>168</v>
      </c>
      <c r="D20" s="18">
        <f>125000</f>
        <v>125000</v>
      </c>
      <c r="E20" s="199" t="s">
        <v>250</v>
      </c>
    </row>
    <row r="21" spans="1:5" x14ac:dyDescent="0.25">
      <c r="B21" s="201" t="s">
        <v>172</v>
      </c>
      <c r="C21" s="201" t="s">
        <v>168</v>
      </c>
      <c r="D21" s="18">
        <f>459100</f>
        <v>459100</v>
      </c>
      <c r="E21" s="199" t="s">
        <v>250</v>
      </c>
    </row>
    <row r="22" spans="1:5" x14ac:dyDescent="0.25">
      <c r="B22" s="201" t="s">
        <v>173</v>
      </c>
      <c r="C22" s="201" t="s">
        <v>168</v>
      </c>
      <c r="D22" s="18">
        <f>174000</f>
        <v>174000</v>
      </c>
      <c r="E22" s="199" t="s">
        <v>250</v>
      </c>
    </row>
    <row r="23" spans="1:5" x14ac:dyDescent="0.25">
      <c r="B23" s="201" t="s">
        <v>169</v>
      </c>
      <c r="C23" s="201" t="s">
        <v>168</v>
      </c>
      <c r="D23" s="18">
        <f>132200</f>
        <v>132200</v>
      </c>
      <c r="E23" s="199" t="s">
        <v>250</v>
      </c>
    </row>
    <row r="24" spans="1:5" x14ac:dyDescent="0.25">
      <c r="A24" t="s">
        <v>175</v>
      </c>
      <c r="B24" s="201"/>
      <c r="C24" s="201"/>
      <c r="D24" s="18"/>
      <c r="E24" s="199"/>
    </row>
    <row r="25" spans="1:5" x14ac:dyDescent="0.25">
      <c r="B25" s="201" t="s">
        <v>176</v>
      </c>
      <c r="C25" s="201" t="s">
        <v>168</v>
      </c>
      <c r="D25" s="18">
        <f>28800</f>
        <v>28800</v>
      </c>
      <c r="E25" s="199" t="s">
        <v>250</v>
      </c>
    </row>
    <row r="26" spans="1:5" x14ac:dyDescent="0.25">
      <c r="B26" s="201" t="s">
        <v>177</v>
      </c>
      <c r="C26" s="201" t="s">
        <v>168</v>
      </c>
      <c r="D26" s="18">
        <f>451200</f>
        <v>451200</v>
      </c>
      <c r="E26" s="199" t="s">
        <v>250</v>
      </c>
    </row>
    <row r="27" spans="1:5" x14ac:dyDescent="0.25">
      <c r="B27" s="201" t="s">
        <v>178</v>
      </c>
      <c r="C27" s="201" t="s">
        <v>168</v>
      </c>
      <c r="D27" s="18">
        <f>1008000</f>
        <v>1008000</v>
      </c>
      <c r="E27" s="199" t="s">
        <v>250</v>
      </c>
    </row>
    <row r="28" spans="1:5" x14ac:dyDescent="0.25">
      <c r="B28" s="201" t="s">
        <v>179</v>
      </c>
      <c r="C28" s="201" t="s">
        <v>168</v>
      </c>
      <c r="D28" s="203">
        <f>2553699</f>
        <v>2553699</v>
      </c>
      <c r="E28" s="199" t="s">
        <v>250</v>
      </c>
    </row>
    <row r="29" spans="1:5" x14ac:dyDescent="0.25">
      <c r="B29" s="201" t="s">
        <v>180</v>
      </c>
      <c r="C29" s="201" t="s">
        <v>168</v>
      </c>
      <c r="D29" s="203">
        <f>5692800</f>
        <v>5692800</v>
      </c>
      <c r="E29" s="199" t="s">
        <v>250</v>
      </c>
    </row>
    <row r="31" spans="1:5" x14ac:dyDescent="0.25">
      <c r="B31" t="s">
        <v>184</v>
      </c>
      <c r="C31" t="s">
        <v>168</v>
      </c>
      <c r="D31" s="204">
        <f>0.39</f>
        <v>0.39</v>
      </c>
    </row>
    <row r="33" spans="2:4" x14ac:dyDescent="0.25">
      <c r="B33" s="199" t="s">
        <v>185</v>
      </c>
      <c r="C33" s="199" t="s">
        <v>186</v>
      </c>
      <c r="D33" s="205">
        <v>245.13924999999998</v>
      </c>
    </row>
    <row r="34" spans="2:4" x14ac:dyDescent="0.25">
      <c r="B34" s="199"/>
      <c r="C34" s="199" t="s">
        <v>187</v>
      </c>
      <c r="D34" s="199">
        <v>250.989</v>
      </c>
    </row>
    <row r="35" spans="2:4" x14ac:dyDescent="0.25">
      <c r="B35" s="199"/>
      <c r="C35" s="199" t="s">
        <v>188</v>
      </c>
      <c r="D35" s="206">
        <f>D34/D33-1</f>
        <v>2.3862967680614355E-2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6" workbookViewId="0">
      <selection activeCell="M44" sqref="M44"/>
    </sheetView>
  </sheetViews>
  <sheetFormatPr defaultRowHeight="15" x14ac:dyDescent="0.25"/>
  <cols>
    <col min="1" max="2" width="12.85546875" customWidth="1"/>
    <col min="3" max="3" width="12" bestFit="1" customWidth="1"/>
    <col min="4" max="4" width="11.28515625" customWidth="1"/>
    <col min="6" max="6" width="11.5703125" customWidth="1"/>
    <col min="8" max="8" width="5.5703125" customWidth="1"/>
    <col min="9" max="10" width="10.140625" bestFit="1" customWidth="1"/>
    <col min="11" max="13" width="9.28515625" bestFit="1" customWidth="1"/>
    <col min="15" max="15" width="10.140625" bestFit="1" customWidth="1"/>
  </cols>
  <sheetData>
    <row r="1" spans="1:19" x14ac:dyDescent="0.25">
      <c r="C1" t="s">
        <v>77</v>
      </c>
      <c r="D1" t="s">
        <v>78</v>
      </c>
      <c r="E1" t="s">
        <v>79</v>
      </c>
      <c r="F1" t="s">
        <v>80</v>
      </c>
      <c r="G1" t="s">
        <v>81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85</v>
      </c>
      <c r="O1" t="s">
        <v>86</v>
      </c>
    </row>
    <row r="2" spans="1:19" x14ac:dyDescent="0.25">
      <c r="A2" t="s">
        <v>82</v>
      </c>
      <c r="C2" s="20">
        <v>1137</v>
      </c>
      <c r="D2" s="20">
        <v>4227</v>
      </c>
      <c r="E2" s="20">
        <v>27237</v>
      </c>
      <c r="F2" s="20">
        <v>22629</v>
      </c>
      <c r="G2" s="20">
        <v>26519</v>
      </c>
      <c r="I2" s="18">
        <f>InpC!D15</f>
        <v>9600000</v>
      </c>
      <c r="J2" s="18">
        <f>InpC!D27</f>
        <v>1008000</v>
      </c>
      <c r="K2" s="18">
        <f>InpC!D25</f>
        <v>28800</v>
      </c>
      <c r="L2" s="18">
        <f>InpC!D19</f>
        <v>63900</v>
      </c>
      <c r="M2" s="18">
        <f>InpC!D22</f>
        <v>174000</v>
      </c>
      <c r="N2" t="s">
        <v>84</v>
      </c>
      <c r="O2" t="s">
        <v>84</v>
      </c>
    </row>
    <row r="3" spans="1:19" x14ac:dyDescent="0.25">
      <c r="A3" t="s">
        <v>40</v>
      </c>
      <c r="C3">
        <v>99500000000</v>
      </c>
      <c r="D3">
        <v>99500000000</v>
      </c>
      <c r="E3">
        <v>99500000000</v>
      </c>
      <c r="F3">
        <v>99500000000</v>
      </c>
      <c r="G3">
        <v>99500000000</v>
      </c>
    </row>
    <row r="4" spans="1:19" x14ac:dyDescent="0.25">
      <c r="A4" t="s">
        <v>83</v>
      </c>
      <c r="C4">
        <f>C2/C3</f>
        <v>1.142713567839196E-8</v>
      </c>
      <c r="D4">
        <f t="shared" ref="D4:G4" si="0">D2/D3</f>
        <v>4.2482412060301508E-8</v>
      </c>
      <c r="E4">
        <f t="shared" si="0"/>
        <v>2.737386934673367E-7</v>
      </c>
      <c r="F4">
        <f t="shared" si="0"/>
        <v>2.2742713567839197E-7</v>
      </c>
      <c r="G4">
        <f t="shared" si="0"/>
        <v>2.6652261306532666E-7</v>
      </c>
    </row>
    <row r="5" spans="1:19" x14ac:dyDescent="0.25">
      <c r="A5">
        <f>'Auto VMT Savings'!A3</f>
        <v>2017</v>
      </c>
      <c r="B5" s="29">
        <f>'Auto VMT Savings'!B3</f>
        <v>0</v>
      </c>
      <c r="C5" s="70">
        <f>$B5*C$4</f>
        <v>0</v>
      </c>
      <c r="D5" s="70">
        <f t="shared" ref="D5:G20" si="1">$B5*D$4</f>
        <v>0</v>
      </c>
      <c r="E5" s="70">
        <f t="shared" si="1"/>
        <v>0</v>
      </c>
      <c r="F5" s="70">
        <f t="shared" si="1"/>
        <v>0</v>
      </c>
      <c r="G5" s="70">
        <f t="shared" si="1"/>
        <v>0</v>
      </c>
      <c r="I5" s="18">
        <f>C5*I$2*Discounting!$D8</f>
        <v>0</v>
      </c>
      <c r="J5" s="18">
        <f>D5*J$2*Discounting!$D8</f>
        <v>0</v>
      </c>
      <c r="K5" s="18">
        <f>E5*K$2*Discounting!$D8</f>
        <v>0</v>
      </c>
      <c r="L5" s="18">
        <f>F5*L$2*Discounting!$D8</f>
        <v>0</v>
      </c>
      <c r="M5" s="18">
        <f>G5*M$2*Discounting!$D8</f>
        <v>0</v>
      </c>
      <c r="N5" s="18">
        <f>SUM(I5:M5)</f>
        <v>0</v>
      </c>
      <c r="O5" s="23">
        <f>N5*Discounting!C8</f>
        <v>0</v>
      </c>
    </row>
    <row r="6" spans="1:19" x14ac:dyDescent="0.25">
      <c r="A6">
        <f>'Auto VMT Savings'!A4</f>
        <v>2018</v>
      </c>
      <c r="B6" s="29">
        <f>'Auto VMT Savings'!B4</f>
        <v>0</v>
      </c>
      <c r="C6" s="70">
        <f t="shared" ref="C6:G39" si="2">$B6*C$4</f>
        <v>0</v>
      </c>
      <c r="D6" s="70">
        <f t="shared" si="1"/>
        <v>0</v>
      </c>
      <c r="E6" s="70">
        <f t="shared" si="1"/>
        <v>0</v>
      </c>
      <c r="F6" s="70">
        <f t="shared" si="1"/>
        <v>0</v>
      </c>
      <c r="G6" s="70">
        <f t="shared" si="1"/>
        <v>0</v>
      </c>
      <c r="I6" s="18">
        <f>C6*I$2*Discounting!$D9</f>
        <v>0</v>
      </c>
      <c r="J6" s="18">
        <f>D6*J$2*Discounting!$D9</f>
        <v>0</v>
      </c>
      <c r="K6" s="18">
        <f>E6*K$2*Discounting!$D9</f>
        <v>0</v>
      </c>
      <c r="L6" s="18">
        <f>F6*L$2*Discounting!$D9</f>
        <v>0</v>
      </c>
      <c r="M6" s="18">
        <f>G6*M$2*Discounting!$D9</f>
        <v>0</v>
      </c>
      <c r="N6" s="18">
        <f t="shared" ref="N6:N39" si="3">SUM(I6:M6)</f>
        <v>0</v>
      </c>
      <c r="O6" s="23">
        <f>N6*Discounting!C9</f>
        <v>0</v>
      </c>
    </row>
    <row r="7" spans="1:19" x14ac:dyDescent="0.25">
      <c r="A7">
        <f>'Auto VMT Savings'!A5</f>
        <v>2019</v>
      </c>
      <c r="B7" s="29">
        <f>'Auto VMT Savings'!B5</f>
        <v>0</v>
      </c>
      <c r="C7" s="70">
        <f t="shared" si="2"/>
        <v>0</v>
      </c>
      <c r="D7" s="70">
        <f t="shared" si="1"/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I7" s="18">
        <f>C7*I$2*Discounting!$D10</f>
        <v>0</v>
      </c>
      <c r="J7" s="18">
        <f>D7*J$2*Discounting!$D10</f>
        <v>0</v>
      </c>
      <c r="K7" s="18">
        <f>E7*K$2*Discounting!$D10</f>
        <v>0</v>
      </c>
      <c r="L7" s="18">
        <f>F7*L$2*Discounting!$D10</f>
        <v>0</v>
      </c>
      <c r="M7" s="18">
        <f>G7*M$2*Discounting!$D10</f>
        <v>0</v>
      </c>
      <c r="N7" s="18">
        <f t="shared" si="3"/>
        <v>0</v>
      </c>
      <c r="O7" s="23">
        <f>N7*Discounting!C10</f>
        <v>0</v>
      </c>
    </row>
    <row r="8" spans="1:19" x14ac:dyDescent="0.25">
      <c r="A8">
        <f>'Auto VMT Savings'!A6</f>
        <v>2020</v>
      </c>
      <c r="B8" s="29">
        <f>'Auto VMT Savings'!B6</f>
        <v>0</v>
      </c>
      <c r="C8" s="70">
        <f t="shared" si="2"/>
        <v>0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I8" s="18">
        <f>C8*I$2*Discounting!$D11</f>
        <v>0</v>
      </c>
      <c r="J8" s="18">
        <f>D8*J$2*Discounting!$D11</f>
        <v>0</v>
      </c>
      <c r="K8" s="18">
        <f>E8*K$2*Discounting!$D11</f>
        <v>0</v>
      </c>
      <c r="L8" s="18">
        <f>F8*L$2*Discounting!$D11</f>
        <v>0</v>
      </c>
      <c r="M8" s="18">
        <f>G8*M$2*Discounting!$D11</f>
        <v>0</v>
      </c>
      <c r="N8" s="18">
        <f t="shared" si="3"/>
        <v>0</v>
      </c>
      <c r="O8" s="23">
        <f>N8*Discounting!C11</f>
        <v>0</v>
      </c>
    </row>
    <row r="9" spans="1:19" x14ac:dyDescent="0.25">
      <c r="A9">
        <f>'Auto VMT Savings'!A7</f>
        <v>2021</v>
      </c>
      <c r="B9" s="29">
        <f>'Auto VMT Savings'!B7</f>
        <v>0</v>
      </c>
      <c r="C9" s="70">
        <f t="shared" si="2"/>
        <v>0</v>
      </c>
      <c r="D9" s="70">
        <f t="shared" si="1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I9" s="18">
        <f>C9*I$2*Discounting!$D12</f>
        <v>0</v>
      </c>
      <c r="J9" s="18">
        <f>D9*J$2*Discounting!$D12</f>
        <v>0</v>
      </c>
      <c r="K9" s="18">
        <f>E9*K$2*Discounting!$D12</f>
        <v>0</v>
      </c>
      <c r="L9" s="18">
        <f>F9*L$2*Discounting!$D12</f>
        <v>0</v>
      </c>
      <c r="M9" s="18">
        <f>G9*M$2*Discounting!$D12</f>
        <v>0</v>
      </c>
      <c r="N9" s="18">
        <f t="shared" si="3"/>
        <v>0</v>
      </c>
      <c r="O9" s="23">
        <f>N9*Discounting!C12</f>
        <v>0</v>
      </c>
    </row>
    <row r="10" spans="1:19" x14ac:dyDescent="0.25">
      <c r="A10">
        <f>'Auto VMT Savings'!A8</f>
        <v>2022</v>
      </c>
      <c r="B10" s="29">
        <f>'Auto VMT Savings'!B8</f>
        <v>0</v>
      </c>
      <c r="C10" s="70">
        <f t="shared" si="2"/>
        <v>0</v>
      </c>
      <c r="D10" s="70">
        <f t="shared" si="1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I10" s="18">
        <f>C10*I$2*Discounting!$D13</f>
        <v>0</v>
      </c>
      <c r="J10" s="18">
        <f>D10*J$2*Discounting!$D13</f>
        <v>0</v>
      </c>
      <c r="K10" s="18">
        <f>E10*K$2*Discounting!$D13</f>
        <v>0</v>
      </c>
      <c r="L10" s="18">
        <f>F10*L$2*Discounting!$D13</f>
        <v>0</v>
      </c>
      <c r="M10" s="18">
        <f>G10*M$2*Discounting!$D13</f>
        <v>0</v>
      </c>
      <c r="N10" s="18">
        <f t="shared" si="3"/>
        <v>0</v>
      </c>
      <c r="O10" s="23">
        <f>N10*Discounting!C13</f>
        <v>0</v>
      </c>
      <c r="Q10" s="18"/>
      <c r="R10" s="18"/>
      <c r="S10" s="18"/>
    </row>
    <row r="11" spans="1:19" x14ac:dyDescent="0.25">
      <c r="A11">
        <f>'Auto VMT Savings'!A9</f>
        <v>2023</v>
      </c>
      <c r="B11" s="29">
        <f>'Auto VMT Savings'!B9</f>
        <v>-8000</v>
      </c>
      <c r="C11" s="70">
        <f t="shared" si="2"/>
        <v>-9.1417085427135684E-5</v>
      </c>
      <c r="D11" s="70">
        <f t="shared" si="1"/>
        <v>-3.3985929648241205E-4</v>
      </c>
      <c r="E11" s="70">
        <f t="shared" si="1"/>
        <v>-2.1899095477386937E-3</v>
      </c>
      <c r="F11" s="70">
        <f t="shared" si="1"/>
        <v>-1.8194170854271357E-3</v>
      </c>
      <c r="G11" s="70">
        <f t="shared" si="1"/>
        <v>-2.1321809045226131E-3</v>
      </c>
      <c r="I11" s="18">
        <f>C11*I$2*Discounting!$D14</f>
        <v>0</v>
      </c>
      <c r="J11" s="18">
        <f>D11*J$2*Discounting!$D14</f>
        <v>0</v>
      </c>
      <c r="K11" s="18">
        <f>E11*K$2*Discounting!$D14</f>
        <v>0</v>
      </c>
      <c r="L11" s="18">
        <f>F11*L$2*Discounting!$D14</f>
        <v>0</v>
      </c>
      <c r="M11" s="18">
        <f>G11*M$2*Discounting!$D14</f>
        <v>0</v>
      </c>
      <c r="N11" s="18">
        <f t="shared" si="3"/>
        <v>0</v>
      </c>
      <c r="O11" s="23">
        <f>N11*Discounting!C14</f>
        <v>0</v>
      </c>
      <c r="Q11" s="18"/>
      <c r="R11" s="18"/>
      <c r="S11" s="18"/>
    </row>
    <row r="12" spans="1:19" x14ac:dyDescent="0.25">
      <c r="A12">
        <f>'Auto VMT Savings'!A10</f>
        <v>2024</v>
      </c>
      <c r="B12" s="29">
        <f>'Auto VMT Savings'!B10</f>
        <v>125399.99999999997</v>
      </c>
      <c r="C12" s="70">
        <f t="shared" si="2"/>
        <v>1.4329628140703516E-3</v>
      </c>
      <c r="D12" s="70">
        <f t="shared" si="1"/>
        <v>5.3272944723618083E-3</v>
      </c>
      <c r="E12" s="70">
        <f t="shared" si="1"/>
        <v>3.4326832160804018E-2</v>
      </c>
      <c r="F12" s="70">
        <f t="shared" si="1"/>
        <v>2.8519362814070345E-2</v>
      </c>
      <c r="G12" s="70">
        <f t="shared" si="1"/>
        <v>3.3421935678391954E-2</v>
      </c>
      <c r="I12" s="18">
        <f>C12*I$2*Discounting!$D15</f>
        <v>13756.443015075376</v>
      </c>
      <c r="J12" s="18">
        <f>D12*J$2*Discounting!$D15</f>
        <v>5369.9128281407029</v>
      </c>
      <c r="K12" s="18">
        <f>E12*K$2*Discounting!$D15</f>
        <v>988.61276623115566</v>
      </c>
      <c r="L12" s="18">
        <f>F12*L$2*Discounting!$D15</f>
        <v>1822.387283819095</v>
      </c>
      <c r="M12" s="18">
        <f>G12*M$2*Discounting!$D15</f>
        <v>5815.4168080401996</v>
      </c>
      <c r="N12" s="18">
        <f t="shared" si="3"/>
        <v>27752.772701306531</v>
      </c>
      <c r="O12" s="23">
        <f>N12*Discounting!C15</f>
        <v>17283.032036320368</v>
      </c>
      <c r="Q12" s="18">
        <f>I12*Discounting!C15</f>
        <v>8566.8213368882771</v>
      </c>
      <c r="R12" s="18">
        <f>SUM(J12:M12)</f>
        <v>13996.329686231153</v>
      </c>
      <c r="S12" s="18"/>
    </row>
    <row r="13" spans="1:19" x14ac:dyDescent="0.25">
      <c r="A13">
        <f>'Auto VMT Savings'!A11</f>
        <v>2025</v>
      </c>
      <c r="B13" s="29">
        <f>'Auto VMT Savings'!B11</f>
        <v>112579.99999999997</v>
      </c>
      <c r="C13" s="70">
        <f t="shared" si="2"/>
        <v>1.2864669346733665E-3</v>
      </c>
      <c r="D13" s="70">
        <f t="shared" si="1"/>
        <v>4.7826699497487421E-3</v>
      </c>
      <c r="E13" s="70">
        <f t="shared" si="1"/>
        <v>3.0817502110552758E-2</v>
      </c>
      <c r="F13" s="70">
        <f t="shared" si="1"/>
        <v>2.5603746934673363E-2</v>
      </c>
      <c r="G13" s="70">
        <f t="shared" si="1"/>
        <v>3.0005115778894469E-2</v>
      </c>
      <c r="I13" s="18">
        <f>C13*I$2*Discounting!$D16</f>
        <v>12350.082572864318</v>
      </c>
      <c r="J13" s="18">
        <f>D13*J$2*Discounting!$D16</f>
        <v>4820.9313093467317</v>
      </c>
      <c r="K13" s="18">
        <f>E13*K$2*Discounting!$D16</f>
        <v>887.54406078391946</v>
      </c>
      <c r="L13" s="18">
        <f>F13*L$2*Discounting!$D16</f>
        <v>1636.0794291256279</v>
      </c>
      <c r="M13" s="18">
        <f>G13*M$2*Discounting!$D16</f>
        <v>5220.8901455276373</v>
      </c>
      <c r="N13" s="18">
        <f t="shared" si="3"/>
        <v>24915.527517648232</v>
      </c>
      <c r="O13" s="23">
        <f>N13*Discounting!C16</f>
        <v>14501.063860312022</v>
      </c>
      <c r="Q13" s="18">
        <f>I13*Discounting!C16</f>
        <v>7187.860499537047</v>
      </c>
      <c r="R13" s="18">
        <f t="shared" ref="R13:R39" si="4">SUM(J13:M13)</f>
        <v>12565.444944783916</v>
      </c>
      <c r="S13" s="18"/>
    </row>
    <row r="14" spans="1:19" x14ac:dyDescent="0.25">
      <c r="A14">
        <f>'Auto VMT Savings'!A12</f>
        <v>2026</v>
      </c>
      <c r="B14" s="29">
        <f>'Auto VMT Savings'!B12</f>
        <v>104254.09999999998</v>
      </c>
      <c r="C14" s="70">
        <f t="shared" si="2"/>
        <v>1.1913257457286429E-3</v>
      </c>
      <c r="D14" s="70">
        <f t="shared" si="1"/>
        <v>4.4289656351758789E-3</v>
      </c>
      <c r="E14" s="70">
        <f t="shared" si="1"/>
        <v>2.853838112261306E-2</v>
      </c>
      <c r="F14" s="70">
        <f t="shared" si="1"/>
        <v>2.3710211345728639E-2</v>
      </c>
      <c r="G14" s="70">
        <f t="shared" si="1"/>
        <v>2.7786075154773864E-2</v>
      </c>
      <c r="I14" s="18">
        <f>C14*I$2*Discounting!$D17</f>
        <v>11436.727158994972</v>
      </c>
      <c r="J14" s="18">
        <f>D14*J$2*Discounting!$D17</f>
        <v>4464.397360257286</v>
      </c>
      <c r="K14" s="18">
        <f>E14*K$2*Discounting!$D17</f>
        <v>821.90537633125609</v>
      </c>
      <c r="L14" s="18">
        <f>F14*L$2*Discounting!$D17</f>
        <v>1515.08250499206</v>
      </c>
      <c r="M14" s="18">
        <f>G14*M$2*Discounting!$D17</f>
        <v>4834.7770769306526</v>
      </c>
      <c r="N14" s="18">
        <f t="shared" si="3"/>
        <v>23072.889477506225</v>
      </c>
      <c r="O14" s="23">
        <f>N14*Discounting!C17</f>
        <v>12550.12312573037</v>
      </c>
      <c r="Q14" s="18">
        <f>I14*Discounting!C17</f>
        <v>6220.8218065059064</v>
      </c>
      <c r="R14" s="18">
        <f t="shared" si="4"/>
        <v>11636.162318511255</v>
      </c>
      <c r="S14" s="18"/>
    </row>
    <row r="15" spans="1:19" x14ac:dyDescent="0.25">
      <c r="A15">
        <f>'Auto VMT Savings'!A13</f>
        <v>2027</v>
      </c>
      <c r="B15" s="29">
        <f>'Auto VMT Savings'!B13</f>
        <v>94720.944499999983</v>
      </c>
      <c r="C15" s="70">
        <f t="shared" si="2"/>
        <v>1.0823890843869345E-3</v>
      </c>
      <c r="D15" s="70">
        <f t="shared" si="1"/>
        <v>4.0239741949899491E-3</v>
      </c>
      <c r="E15" s="70">
        <f t="shared" si="1"/>
        <v>2.5928787591422107E-2</v>
      </c>
      <c r="F15" s="70">
        <f t="shared" si="1"/>
        <v>2.1542113096386931E-2</v>
      </c>
      <c r="G15" s="70">
        <f t="shared" si="1"/>
        <v>2.5245273640155778E-2</v>
      </c>
      <c r="I15" s="18">
        <f>C15*I$2*Discounting!$D18</f>
        <v>10390.935210114571</v>
      </c>
      <c r="J15" s="18">
        <f>D15*J$2*Discounting!$D18</f>
        <v>4056.1659885498689</v>
      </c>
      <c r="K15" s="18">
        <f>E15*K$2*Discounting!$D18</f>
        <v>746.74908263295674</v>
      </c>
      <c r="L15" s="18">
        <f>F15*L$2*Discounting!$D18</f>
        <v>1376.5410268591249</v>
      </c>
      <c r="M15" s="18">
        <f>G15*M$2*Discounting!$D18</f>
        <v>4392.6776133871053</v>
      </c>
      <c r="N15" s="18">
        <f t="shared" si="3"/>
        <v>20963.068921543629</v>
      </c>
      <c r="O15" s="23">
        <f>N15*Discounting!C18</f>
        <v>10656.561247238005</v>
      </c>
      <c r="Q15" s="18">
        <f>I15*Discounting!C18</f>
        <v>5282.224558679457</v>
      </c>
      <c r="R15" s="18">
        <f t="shared" si="4"/>
        <v>10572.133711429056</v>
      </c>
      <c r="S15" s="18"/>
    </row>
    <row r="16" spans="1:19" x14ac:dyDescent="0.25">
      <c r="A16">
        <f>'Auto VMT Savings'!A14</f>
        <v>2028</v>
      </c>
      <c r="B16" s="29">
        <f>'Auto VMT Savings'!B14</f>
        <v>83805.481452499982</v>
      </c>
      <c r="C16" s="70">
        <f t="shared" si="2"/>
        <v>9.5765660715067824E-4</v>
      </c>
      <c r="D16" s="70">
        <f t="shared" si="1"/>
        <v>3.5602589959770597E-3</v>
      </c>
      <c r="E16" s="70">
        <f t="shared" si="1"/>
        <v>2.2940802998208464E-2</v>
      </c>
      <c r="F16" s="70">
        <f t="shared" si="1"/>
        <v>1.9059640600890677E-2</v>
      </c>
      <c r="G16" s="70">
        <f t="shared" si="1"/>
        <v>2.2336055905918063E-2</v>
      </c>
      <c r="I16" s="18">
        <f>C16*I$2*Discounting!$D19</f>
        <v>9193.5034286465107</v>
      </c>
      <c r="J16" s="18">
        <f>D16*J$2*Discounting!$D19</f>
        <v>3588.7410679448762</v>
      </c>
      <c r="K16" s="18">
        <f>E16*K$2*Discounting!$D19</f>
        <v>660.69512634840373</v>
      </c>
      <c r="L16" s="18">
        <f>F16*L$2*Discounting!$D19</f>
        <v>1217.9110343969141</v>
      </c>
      <c r="M16" s="18">
        <f>G16*M$2*Discounting!$D19</f>
        <v>3886.4737276297428</v>
      </c>
      <c r="N16" s="18">
        <f t="shared" si="3"/>
        <v>18547.324384966447</v>
      </c>
      <c r="O16" s="23">
        <f>N16*Discounting!C19</f>
        <v>8811.7002075613855</v>
      </c>
      <c r="Q16" s="18">
        <f>I16*Discounting!C19</f>
        <v>4367.7672525145363</v>
      </c>
      <c r="R16" s="18">
        <f t="shared" si="4"/>
        <v>9353.820956319938</v>
      </c>
      <c r="S16" s="18"/>
    </row>
    <row r="17" spans="1:19" x14ac:dyDescent="0.25">
      <c r="A17">
        <f>'Auto VMT Savings'!A15</f>
        <v>2029</v>
      </c>
      <c r="B17" s="29">
        <f>'Auto VMT Savings'!B15</f>
        <v>71307.276263112479</v>
      </c>
      <c r="C17" s="70">
        <f t="shared" si="2"/>
        <v>8.148379207151647E-4</v>
      </c>
      <c r="D17" s="70">
        <f t="shared" si="1"/>
        <v>3.0293050931073009E-3</v>
      </c>
      <c r="E17" s="70">
        <f t="shared" si="1"/>
        <v>1.951956063897884E-2</v>
      </c>
      <c r="F17" s="70">
        <f t="shared" si="1"/>
        <v>1.6217209593547461E-2</v>
      </c>
      <c r="G17" s="70">
        <f t="shared" si="1"/>
        <v>1.9005001600215881E-2</v>
      </c>
      <c r="I17" s="18">
        <f>C17*I$2*Discounting!$D20</f>
        <v>7822.4440388655812</v>
      </c>
      <c r="J17" s="18">
        <f>D17*J$2*Discounting!$D20</f>
        <v>3053.5395338521594</v>
      </c>
      <c r="K17" s="18">
        <f>E17*K$2*Discounting!$D20</f>
        <v>562.16334640259061</v>
      </c>
      <c r="L17" s="18">
        <f>F17*L$2*Discounting!$D20</f>
        <v>1036.2796930276827</v>
      </c>
      <c r="M17" s="18">
        <f>G17*M$2*Discounting!$D20</f>
        <v>3306.8702784375632</v>
      </c>
      <c r="N17" s="18">
        <f t="shared" si="3"/>
        <v>15781.296890585578</v>
      </c>
      <c r="O17" s="23">
        <f>N17*Discounting!C20</f>
        <v>7007.0845517486259</v>
      </c>
      <c r="Q17" s="18">
        <f>I17*Discounting!C20</f>
        <v>3473.2587037477169</v>
      </c>
      <c r="R17" s="18">
        <f t="shared" si="4"/>
        <v>7958.8528517199957</v>
      </c>
      <c r="S17" s="18"/>
    </row>
    <row r="18" spans="1:19" x14ac:dyDescent="0.25">
      <c r="A18">
        <f>'Auto VMT Savings'!A16</f>
        <v>2030</v>
      </c>
      <c r="B18" s="29">
        <f>'Auto VMT Savings'!B16</f>
        <v>56996.831321263802</v>
      </c>
      <c r="C18" s="70">
        <f t="shared" si="2"/>
        <v>6.51310524746502E-4</v>
      </c>
      <c r="D18" s="70">
        <f t="shared" si="1"/>
        <v>2.421362874321428E-3</v>
      </c>
      <c r="E18" s="70">
        <f t="shared" si="1"/>
        <v>1.5602238137660927E-2</v>
      </c>
      <c r="F18" s="70">
        <f t="shared" si="1"/>
        <v>1.2962626090139484E-2</v>
      </c>
      <c r="G18" s="70">
        <f t="shared" si="1"/>
        <v>1.5190944420186883E-2</v>
      </c>
      <c r="I18" s="18">
        <f>C18*I$2*Discounting!$D21</f>
        <v>6252.5810375664196</v>
      </c>
      <c r="J18" s="18">
        <f>D18*J$2*Discounting!$D21</f>
        <v>2440.7337773159993</v>
      </c>
      <c r="K18" s="18">
        <f>E18*K$2*Discounting!$D21</f>
        <v>449.3444583646347</v>
      </c>
      <c r="L18" s="18">
        <f>F18*L$2*Discounting!$D21</f>
        <v>828.31180715991309</v>
      </c>
      <c r="M18" s="18">
        <f>G18*M$2*Discounting!$D21</f>
        <v>2643.2243291125178</v>
      </c>
      <c r="N18" s="18">
        <f t="shared" si="3"/>
        <v>12614.195409519483</v>
      </c>
      <c r="O18" s="23">
        <f>N18*Discounting!C21</f>
        <v>5234.4426336693778</v>
      </c>
      <c r="Q18" s="18">
        <f>I18*Discounting!C21</f>
        <v>2594.598838132089</v>
      </c>
      <c r="R18" s="18">
        <f t="shared" si="4"/>
        <v>6361.6143719530646</v>
      </c>
      <c r="S18" s="18"/>
    </row>
    <row r="19" spans="1:19" x14ac:dyDescent="0.25">
      <c r="A19">
        <f>'Auto VMT Savings'!A17</f>
        <v>2031</v>
      </c>
      <c r="B19" s="29">
        <f>'Auto VMT Savings'!B17</f>
        <v>40611.371862847052</v>
      </c>
      <c r="C19" s="70">
        <f t="shared" si="2"/>
        <v>4.6407165636238294E-4</v>
      </c>
      <c r="D19" s="70">
        <f t="shared" si="1"/>
        <v>1.725269033811603E-3</v>
      </c>
      <c r="E19" s="70">
        <f t="shared" si="1"/>
        <v>1.1116903873651912E-2</v>
      </c>
      <c r="F19" s="70">
        <f t="shared" si="1"/>
        <v>9.2361279787373466E-3</v>
      </c>
      <c r="G19" s="70">
        <f t="shared" si="1"/>
        <v>1.082384894905368E-2</v>
      </c>
      <c r="I19" s="18">
        <f>C19*I$2*Discounting!$D22</f>
        <v>4455.0879010788758</v>
      </c>
      <c r="J19" s="18">
        <f>D19*J$2*Discounting!$D22</f>
        <v>1739.0711860820959</v>
      </c>
      <c r="K19" s="18">
        <f>E19*K$2*Discounting!$D22</f>
        <v>320.16683156117506</v>
      </c>
      <c r="L19" s="18">
        <f>F19*L$2*Discounting!$D22</f>
        <v>590.18857784131649</v>
      </c>
      <c r="M19" s="18">
        <f>G19*M$2*Discounting!$D22</f>
        <v>1883.3497171353404</v>
      </c>
      <c r="N19" s="18">
        <f t="shared" si="3"/>
        <v>8987.8642136988037</v>
      </c>
      <c r="O19" s="23">
        <f>N19*Discounting!C22</f>
        <v>3485.6487019950182</v>
      </c>
      <c r="Q19" s="18">
        <f>I19*Discounting!C22</f>
        <v>1727.7598982860745</v>
      </c>
      <c r="R19" s="18">
        <f t="shared" si="4"/>
        <v>4532.7763126199279</v>
      </c>
      <c r="S19" s="18"/>
    </row>
    <row r="20" spans="1:19" x14ac:dyDescent="0.25">
      <c r="A20">
        <f>'Auto VMT Savings'!A18</f>
        <v>2032</v>
      </c>
      <c r="B20" s="29">
        <f>'Auto VMT Savings'!B18</f>
        <v>21499.999999999971</v>
      </c>
      <c r="C20" s="70">
        <f t="shared" si="2"/>
        <v>2.4568341708542681E-4</v>
      </c>
      <c r="D20" s="70">
        <f t="shared" si="1"/>
        <v>9.1337185929648115E-4</v>
      </c>
      <c r="E20" s="70">
        <f t="shared" si="1"/>
        <v>5.8853819095477308E-3</v>
      </c>
      <c r="F20" s="70">
        <f t="shared" si="1"/>
        <v>4.8896834170854206E-3</v>
      </c>
      <c r="G20" s="70">
        <f t="shared" si="1"/>
        <v>5.730236180904515E-3</v>
      </c>
      <c r="I20" s="18">
        <f>C20*I$2*Discounting!$D23</f>
        <v>2358.5608040200973</v>
      </c>
      <c r="J20" s="18">
        <f>D20*J$2*Discounting!$D23</f>
        <v>920.67883417085295</v>
      </c>
      <c r="K20" s="18">
        <f>E20*K$2*Discounting!$D23</f>
        <v>169.49899899497464</v>
      </c>
      <c r="L20" s="18">
        <f>F20*L$2*Discounting!$D23</f>
        <v>312.45077035175836</v>
      </c>
      <c r="M20" s="18">
        <f>G20*M$2*Discounting!$D23</f>
        <v>997.06109547738561</v>
      </c>
      <c r="N20" s="18">
        <f t="shared" si="3"/>
        <v>4758.2505030150687</v>
      </c>
      <c r="O20" s="23">
        <f>N20*Discounting!C23</f>
        <v>1724.6089552790675</v>
      </c>
      <c r="Q20" s="18">
        <f>I20*Discounting!C23</f>
        <v>854.85097550156786</v>
      </c>
      <c r="R20" s="18">
        <f t="shared" si="4"/>
        <v>2399.6896989949719</v>
      </c>
      <c r="S20" s="18"/>
    </row>
    <row r="21" spans="1:19" x14ac:dyDescent="0.25">
      <c r="A21">
        <f>'Auto VMT Savings'!A19</f>
        <v>2033</v>
      </c>
      <c r="B21" s="29">
        <f>'Auto VMT Savings'!B19</f>
        <v>21499.999999999971</v>
      </c>
      <c r="C21" s="70">
        <f t="shared" si="2"/>
        <v>2.4568341708542681E-4</v>
      </c>
      <c r="D21" s="70">
        <f t="shared" si="2"/>
        <v>9.1337185929648115E-4</v>
      </c>
      <c r="E21" s="70">
        <f t="shared" si="2"/>
        <v>5.8853819095477308E-3</v>
      </c>
      <c r="F21" s="70">
        <f t="shared" si="2"/>
        <v>4.8896834170854206E-3</v>
      </c>
      <c r="G21" s="70">
        <f t="shared" si="2"/>
        <v>5.730236180904515E-3</v>
      </c>
      <c r="I21" s="18">
        <f>C21*I$2*Discounting!$D24</f>
        <v>2358.5608040200973</v>
      </c>
      <c r="J21" s="18">
        <f>D21*J$2*Discounting!$D24</f>
        <v>920.67883417085295</v>
      </c>
      <c r="K21" s="18">
        <f>E21*K$2*Discounting!$D24</f>
        <v>169.49899899497464</v>
      </c>
      <c r="L21" s="18">
        <f>F21*L$2*Discounting!$D24</f>
        <v>312.45077035175836</v>
      </c>
      <c r="M21" s="18">
        <f>G21*M$2*Discounting!$D24</f>
        <v>997.06109547738561</v>
      </c>
      <c r="N21" s="18">
        <f t="shared" si="3"/>
        <v>4758.2505030150687</v>
      </c>
      <c r="O21" s="23">
        <f>N21*Discounting!C24</f>
        <v>1611.7840703542688</v>
      </c>
      <c r="Q21" s="18">
        <f>I21*Discounting!C24</f>
        <v>798.92614532856817</v>
      </c>
      <c r="R21" s="18">
        <f t="shared" si="4"/>
        <v>2399.6896989949719</v>
      </c>
      <c r="S21" s="18"/>
    </row>
    <row r="22" spans="1:19" x14ac:dyDescent="0.25">
      <c r="A22">
        <f>'Auto VMT Savings'!A20</f>
        <v>2034</v>
      </c>
      <c r="B22" s="29">
        <f>'Auto VMT Savings'!B20</f>
        <v>21499.999999999971</v>
      </c>
      <c r="C22" s="70">
        <f t="shared" si="2"/>
        <v>2.4568341708542681E-4</v>
      </c>
      <c r="D22" s="70">
        <f t="shared" si="2"/>
        <v>9.1337185929648115E-4</v>
      </c>
      <c r="E22" s="70">
        <f t="shared" si="2"/>
        <v>5.8853819095477308E-3</v>
      </c>
      <c r="F22" s="70">
        <f t="shared" si="2"/>
        <v>4.8896834170854206E-3</v>
      </c>
      <c r="G22" s="70">
        <f t="shared" si="2"/>
        <v>5.730236180904515E-3</v>
      </c>
      <c r="I22" s="18">
        <f>C22*I$2*Discounting!$D25</f>
        <v>2358.5608040200973</v>
      </c>
      <c r="J22" s="18">
        <f>D22*J$2*Discounting!$D25</f>
        <v>920.67883417085295</v>
      </c>
      <c r="K22" s="18">
        <f>E22*K$2*Discounting!$D25</f>
        <v>169.49899899497464</v>
      </c>
      <c r="L22" s="18">
        <f>F22*L$2*Discounting!$D25</f>
        <v>312.45077035175836</v>
      </c>
      <c r="M22" s="18">
        <f>G22*M$2*Discounting!$D25</f>
        <v>997.06109547738561</v>
      </c>
      <c r="N22" s="18">
        <f t="shared" si="3"/>
        <v>4758.2505030150687</v>
      </c>
      <c r="O22" s="23">
        <f>N22*Discounting!C25</f>
        <v>1506.3402526675411</v>
      </c>
      <c r="Q22" s="18">
        <f>I22*Discounting!C25</f>
        <v>746.65994890520392</v>
      </c>
      <c r="R22" s="18">
        <f t="shared" si="4"/>
        <v>2399.6896989949719</v>
      </c>
      <c r="S22" s="18"/>
    </row>
    <row r="23" spans="1:19" x14ac:dyDescent="0.25">
      <c r="A23">
        <f>'Auto VMT Savings'!A21</f>
        <v>2035</v>
      </c>
      <c r="B23" s="29">
        <f>'Auto VMT Savings'!B21</f>
        <v>21499.999999999971</v>
      </c>
      <c r="C23" s="70">
        <f t="shared" si="2"/>
        <v>2.4568341708542681E-4</v>
      </c>
      <c r="D23" s="70">
        <f t="shared" si="2"/>
        <v>9.1337185929648115E-4</v>
      </c>
      <c r="E23" s="70">
        <f t="shared" si="2"/>
        <v>5.8853819095477308E-3</v>
      </c>
      <c r="F23" s="70">
        <f t="shared" si="2"/>
        <v>4.8896834170854206E-3</v>
      </c>
      <c r="G23" s="70">
        <f t="shared" si="2"/>
        <v>5.730236180904515E-3</v>
      </c>
      <c r="I23" s="18">
        <f>C23*I$2*Discounting!$D26</f>
        <v>2358.5608040200973</v>
      </c>
      <c r="J23" s="18">
        <f>D23*J$2*Discounting!$D26</f>
        <v>920.67883417085295</v>
      </c>
      <c r="K23" s="18">
        <f>E23*K$2*Discounting!$D26</f>
        <v>169.49899899497464</v>
      </c>
      <c r="L23" s="18">
        <f>F23*L$2*Discounting!$D26</f>
        <v>312.45077035175836</v>
      </c>
      <c r="M23" s="18">
        <f>G23*M$2*Discounting!$D26</f>
        <v>997.06109547738561</v>
      </c>
      <c r="N23" s="18">
        <f t="shared" si="3"/>
        <v>4758.2505030150687</v>
      </c>
      <c r="O23" s="23">
        <f>N23*Discounting!C26</f>
        <v>1407.794628661253</v>
      </c>
      <c r="Q23" s="18">
        <f>I23*Discounting!C26</f>
        <v>697.81303636000359</v>
      </c>
      <c r="R23" s="18">
        <f t="shared" si="4"/>
        <v>2399.6896989949719</v>
      </c>
      <c r="S23" s="18"/>
    </row>
    <row r="24" spans="1:19" x14ac:dyDescent="0.25">
      <c r="A24">
        <f>'Auto VMT Savings'!A22</f>
        <v>2036</v>
      </c>
      <c r="B24" s="29">
        <f>'Auto VMT Savings'!B22</f>
        <v>21499.999999999971</v>
      </c>
      <c r="C24" s="70">
        <f t="shared" si="2"/>
        <v>2.4568341708542681E-4</v>
      </c>
      <c r="D24" s="70">
        <f t="shared" si="2"/>
        <v>9.1337185929648115E-4</v>
      </c>
      <c r="E24" s="70">
        <f t="shared" si="2"/>
        <v>5.8853819095477308E-3</v>
      </c>
      <c r="F24" s="70">
        <f t="shared" si="2"/>
        <v>4.8896834170854206E-3</v>
      </c>
      <c r="G24" s="70">
        <f t="shared" si="2"/>
        <v>5.730236180904515E-3</v>
      </c>
      <c r="I24" s="18">
        <f>C24*I$2*Discounting!$D27</f>
        <v>2358.5608040200973</v>
      </c>
      <c r="J24" s="18">
        <f>D24*J$2*Discounting!$D27</f>
        <v>920.67883417085295</v>
      </c>
      <c r="K24" s="18">
        <f>E24*K$2*Discounting!$D27</f>
        <v>169.49899899497464</v>
      </c>
      <c r="L24" s="18">
        <f>F24*L$2*Discounting!$D27</f>
        <v>312.45077035175836</v>
      </c>
      <c r="M24" s="18">
        <f>G24*M$2*Discounting!$D27</f>
        <v>997.06109547738561</v>
      </c>
      <c r="N24" s="18">
        <f t="shared" si="3"/>
        <v>4758.2505030150687</v>
      </c>
      <c r="O24" s="23">
        <f>N24*Discounting!C27</f>
        <v>1315.6959146366851</v>
      </c>
      <c r="Q24" s="18">
        <f>I24*Discounting!C27</f>
        <v>652.16171622430238</v>
      </c>
      <c r="R24" s="18">
        <f t="shared" si="4"/>
        <v>2399.6896989949719</v>
      </c>
      <c r="S24" s="18"/>
    </row>
    <row r="25" spans="1:19" x14ac:dyDescent="0.25">
      <c r="A25">
        <f>'Auto VMT Savings'!A23</f>
        <v>2037</v>
      </c>
      <c r="B25" s="29">
        <f>'Auto VMT Savings'!B23</f>
        <v>21499.999999999971</v>
      </c>
      <c r="C25" s="70">
        <f t="shared" si="2"/>
        <v>2.4568341708542681E-4</v>
      </c>
      <c r="D25" s="70">
        <f t="shared" si="2"/>
        <v>9.1337185929648115E-4</v>
      </c>
      <c r="E25" s="70">
        <f t="shared" si="2"/>
        <v>5.8853819095477308E-3</v>
      </c>
      <c r="F25" s="70">
        <f t="shared" si="2"/>
        <v>4.8896834170854206E-3</v>
      </c>
      <c r="G25" s="70">
        <f t="shared" si="2"/>
        <v>5.730236180904515E-3</v>
      </c>
      <c r="I25" s="18">
        <f>C25*I$2*Discounting!$D28</f>
        <v>2358.5608040200973</v>
      </c>
      <c r="J25" s="18">
        <f>D25*J$2*Discounting!$D28</f>
        <v>920.67883417085295</v>
      </c>
      <c r="K25" s="18">
        <f>E25*K$2*Discounting!$D28</f>
        <v>169.49899899497464</v>
      </c>
      <c r="L25" s="18">
        <f>F25*L$2*Discounting!$D28</f>
        <v>312.45077035175836</v>
      </c>
      <c r="M25" s="18">
        <f>G25*M$2*Discounting!$D28</f>
        <v>997.06109547738561</v>
      </c>
      <c r="N25" s="18">
        <f t="shared" si="3"/>
        <v>4758.2505030150687</v>
      </c>
      <c r="O25" s="23">
        <f>N25*Discounting!C28</f>
        <v>1229.6223501277432</v>
      </c>
      <c r="Q25" s="18">
        <f>I25*Discounting!C28</f>
        <v>609.49693105074994</v>
      </c>
      <c r="R25" s="18">
        <f t="shared" si="4"/>
        <v>2399.6896989949719</v>
      </c>
      <c r="S25" s="18"/>
    </row>
    <row r="26" spans="1:19" x14ac:dyDescent="0.25">
      <c r="A26">
        <f>'Auto VMT Savings'!A24</f>
        <v>2038</v>
      </c>
      <c r="B26" s="29">
        <f>'Auto VMT Savings'!B24</f>
        <v>21499.999999999971</v>
      </c>
      <c r="C26" s="70">
        <f t="shared" si="2"/>
        <v>2.4568341708542681E-4</v>
      </c>
      <c r="D26" s="70">
        <f t="shared" si="2"/>
        <v>9.1337185929648115E-4</v>
      </c>
      <c r="E26" s="70">
        <f t="shared" si="2"/>
        <v>5.8853819095477308E-3</v>
      </c>
      <c r="F26" s="70">
        <f t="shared" si="2"/>
        <v>4.8896834170854206E-3</v>
      </c>
      <c r="G26" s="70">
        <f t="shared" si="2"/>
        <v>5.730236180904515E-3</v>
      </c>
      <c r="I26" s="18">
        <f>C26*I$2*Discounting!$D29</f>
        <v>2358.5608040200973</v>
      </c>
      <c r="J26" s="18">
        <f>D26*J$2*Discounting!$D29</f>
        <v>920.67883417085295</v>
      </c>
      <c r="K26" s="18">
        <f>E26*K$2*Discounting!$D29</f>
        <v>169.49899899497464</v>
      </c>
      <c r="L26" s="18">
        <f>F26*L$2*Discounting!$D29</f>
        <v>312.45077035175836</v>
      </c>
      <c r="M26" s="18">
        <f>G26*M$2*Discounting!$D29</f>
        <v>997.06109547738561</v>
      </c>
      <c r="N26" s="18">
        <f t="shared" si="3"/>
        <v>4758.2505030150687</v>
      </c>
      <c r="O26" s="23">
        <f>N26*Discounting!C29</f>
        <v>1149.1797664745263</v>
      </c>
      <c r="Q26" s="18">
        <f>I26*Discounting!C29</f>
        <v>569.62330004742989</v>
      </c>
      <c r="R26" s="18">
        <f t="shared" si="4"/>
        <v>2399.6896989949719</v>
      </c>
      <c r="S26" s="18"/>
    </row>
    <row r="27" spans="1:19" x14ac:dyDescent="0.25">
      <c r="A27">
        <f>'Auto VMT Savings'!A25</f>
        <v>2039</v>
      </c>
      <c r="B27" s="29">
        <f>'Auto VMT Savings'!B25</f>
        <v>21499.999999999971</v>
      </c>
      <c r="C27" s="70">
        <f t="shared" si="2"/>
        <v>2.4568341708542681E-4</v>
      </c>
      <c r="D27" s="70">
        <f t="shared" si="2"/>
        <v>9.1337185929648115E-4</v>
      </c>
      <c r="E27" s="70">
        <f t="shared" si="2"/>
        <v>5.8853819095477308E-3</v>
      </c>
      <c r="F27" s="70">
        <f t="shared" si="2"/>
        <v>4.8896834170854206E-3</v>
      </c>
      <c r="G27" s="70">
        <f t="shared" si="2"/>
        <v>5.730236180904515E-3</v>
      </c>
      <c r="I27" s="18">
        <f>C27*I$2*Discounting!$D30</f>
        <v>2358.5608040200973</v>
      </c>
      <c r="J27" s="18">
        <f>D27*J$2*Discounting!$D30</f>
        <v>920.67883417085295</v>
      </c>
      <c r="K27" s="18">
        <f>E27*K$2*Discounting!$D30</f>
        <v>169.49899899497464</v>
      </c>
      <c r="L27" s="18">
        <f>F27*L$2*Discounting!$D30</f>
        <v>312.45077035175836</v>
      </c>
      <c r="M27" s="18">
        <f>G27*M$2*Discounting!$D30</f>
        <v>997.06109547738561</v>
      </c>
      <c r="N27" s="18">
        <f t="shared" si="3"/>
        <v>4758.2505030150687</v>
      </c>
      <c r="O27" s="23">
        <f>N27*Discounting!C30</f>
        <v>1073.9997817518938</v>
      </c>
      <c r="Q27" s="18">
        <f>I27*Discounting!C30</f>
        <v>532.35822434339241</v>
      </c>
      <c r="R27" s="18">
        <f t="shared" si="4"/>
        <v>2399.6896989949719</v>
      </c>
      <c r="S27" s="18"/>
    </row>
    <row r="28" spans="1:19" x14ac:dyDescent="0.25">
      <c r="A28">
        <f>'Auto VMT Savings'!A26</f>
        <v>2040</v>
      </c>
      <c r="B28" s="29">
        <f>'Auto VMT Savings'!B26</f>
        <v>21499.999999999971</v>
      </c>
      <c r="C28" s="70">
        <f t="shared" si="2"/>
        <v>2.4568341708542681E-4</v>
      </c>
      <c r="D28" s="70">
        <f t="shared" si="2"/>
        <v>9.1337185929648115E-4</v>
      </c>
      <c r="E28" s="70">
        <f t="shared" si="2"/>
        <v>5.8853819095477308E-3</v>
      </c>
      <c r="F28" s="70">
        <f t="shared" si="2"/>
        <v>4.8896834170854206E-3</v>
      </c>
      <c r="G28" s="70">
        <f t="shared" si="2"/>
        <v>5.730236180904515E-3</v>
      </c>
      <c r="I28" s="18">
        <f>C28*I$2*Discounting!$D31</f>
        <v>2358.5608040200973</v>
      </c>
      <c r="J28" s="18">
        <f>D28*J$2*Discounting!$D31</f>
        <v>920.67883417085295</v>
      </c>
      <c r="K28" s="18">
        <f>E28*K$2*Discounting!$D31</f>
        <v>169.49899899497464</v>
      </c>
      <c r="L28" s="18">
        <f>F28*L$2*Discounting!$D31</f>
        <v>312.45077035175836</v>
      </c>
      <c r="M28" s="18">
        <f>G28*M$2*Discounting!$D31</f>
        <v>997.06109547738561</v>
      </c>
      <c r="N28" s="18">
        <f t="shared" si="3"/>
        <v>4758.2505030150687</v>
      </c>
      <c r="O28" s="23">
        <f>N28*Discounting!C31</f>
        <v>1003.7381137868166</v>
      </c>
      <c r="Q28" s="18">
        <f>I28*Discounting!C31</f>
        <v>497.53105078821716</v>
      </c>
      <c r="R28" s="18">
        <f t="shared" si="4"/>
        <v>2399.6896989949719</v>
      </c>
      <c r="S28" s="18"/>
    </row>
    <row r="29" spans="1:19" x14ac:dyDescent="0.25">
      <c r="A29">
        <f>'Auto VMT Savings'!A27</f>
        <v>2041</v>
      </c>
      <c r="B29" s="29">
        <f>'Auto VMT Savings'!B27</f>
        <v>21499.999999999971</v>
      </c>
      <c r="C29" s="70">
        <f t="shared" si="2"/>
        <v>2.4568341708542681E-4</v>
      </c>
      <c r="D29" s="70">
        <f t="shared" si="2"/>
        <v>9.1337185929648115E-4</v>
      </c>
      <c r="E29" s="70">
        <f t="shared" si="2"/>
        <v>5.8853819095477308E-3</v>
      </c>
      <c r="F29" s="70">
        <f t="shared" si="2"/>
        <v>4.8896834170854206E-3</v>
      </c>
      <c r="G29" s="70">
        <f t="shared" si="2"/>
        <v>5.730236180904515E-3</v>
      </c>
      <c r="I29" s="18">
        <f>C29*I$2*Discounting!$D32</f>
        <v>2358.5608040200973</v>
      </c>
      <c r="J29" s="18">
        <f>D29*J$2*Discounting!$D32</f>
        <v>920.67883417085295</v>
      </c>
      <c r="K29" s="18">
        <f>E29*K$2*Discounting!$D32</f>
        <v>169.49899899497464</v>
      </c>
      <c r="L29" s="18">
        <f>F29*L$2*Discounting!$D32</f>
        <v>312.45077035175836</v>
      </c>
      <c r="M29" s="18">
        <f>G29*M$2*Discounting!$D32</f>
        <v>997.06109547738561</v>
      </c>
      <c r="N29" s="18">
        <f t="shared" si="3"/>
        <v>4758.2505030150687</v>
      </c>
      <c r="O29" s="23">
        <f>N29*Discounting!C32</f>
        <v>938.0730035390809</v>
      </c>
      <c r="Q29" s="18">
        <f>I29*Discounting!C32</f>
        <v>464.98229045627772</v>
      </c>
      <c r="R29" s="18">
        <f t="shared" si="4"/>
        <v>2399.6896989949719</v>
      </c>
      <c r="S29" s="18"/>
    </row>
    <row r="30" spans="1:19" x14ac:dyDescent="0.25">
      <c r="A30">
        <f>'Auto VMT Savings'!A28</f>
        <v>2042</v>
      </c>
      <c r="B30" s="29">
        <f>'Auto VMT Savings'!B28</f>
        <v>21499.999999999971</v>
      </c>
      <c r="C30" s="70">
        <f t="shared" si="2"/>
        <v>2.4568341708542681E-4</v>
      </c>
      <c r="D30" s="70">
        <f t="shared" si="2"/>
        <v>9.1337185929648115E-4</v>
      </c>
      <c r="E30" s="70">
        <f t="shared" si="2"/>
        <v>5.8853819095477308E-3</v>
      </c>
      <c r="F30" s="70">
        <f t="shared" si="2"/>
        <v>4.8896834170854206E-3</v>
      </c>
      <c r="G30" s="70">
        <f t="shared" si="2"/>
        <v>5.730236180904515E-3</v>
      </c>
      <c r="I30" s="18">
        <f>C30*I$2*Discounting!$D33</f>
        <v>2358.5608040200973</v>
      </c>
      <c r="J30" s="18">
        <f>D30*J$2*Discounting!$D33</f>
        <v>920.67883417085295</v>
      </c>
      <c r="K30" s="18">
        <f>E30*K$2*Discounting!$D33</f>
        <v>169.49899899497464</v>
      </c>
      <c r="L30" s="18">
        <f>F30*L$2*Discounting!$D33</f>
        <v>312.45077035175836</v>
      </c>
      <c r="M30" s="18">
        <f>G30*M$2*Discounting!$D33</f>
        <v>997.06109547738561</v>
      </c>
      <c r="N30" s="18">
        <f t="shared" si="3"/>
        <v>4758.2505030150687</v>
      </c>
      <c r="O30" s="23">
        <f>N30*Discounting!C33</f>
        <v>876.70374162530914</v>
      </c>
      <c r="Q30" s="18">
        <f>I30*Discounting!C33</f>
        <v>434.56288827689502</v>
      </c>
      <c r="R30" s="18">
        <f t="shared" si="4"/>
        <v>2399.6896989949719</v>
      </c>
      <c r="S30" s="18"/>
    </row>
    <row r="31" spans="1:19" x14ac:dyDescent="0.25">
      <c r="A31">
        <f>'Auto VMT Savings'!A29</f>
        <v>2043</v>
      </c>
      <c r="B31" s="29">
        <f>'Auto VMT Savings'!B29</f>
        <v>21499.999999999971</v>
      </c>
      <c r="C31" s="70">
        <f t="shared" si="2"/>
        <v>2.4568341708542681E-4</v>
      </c>
      <c r="D31" s="70">
        <f t="shared" si="2"/>
        <v>9.1337185929648115E-4</v>
      </c>
      <c r="E31" s="70">
        <f t="shared" si="2"/>
        <v>5.8853819095477308E-3</v>
      </c>
      <c r="F31" s="70">
        <f t="shared" si="2"/>
        <v>4.8896834170854206E-3</v>
      </c>
      <c r="G31" s="70">
        <f t="shared" si="2"/>
        <v>5.730236180904515E-3</v>
      </c>
      <c r="I31" s="18">
        <f>C31*I$2*Discounting!$D34</f>
        <v>2358.5608040200973</v>
      </c>
      <c r="J31" s="18">
        <f>D31*J$2*Discounting!$D34</f>
        <v>920.67883417085295</v>
      </c>
      <c r="K31" s="18">
        <f>E31*K$2*Discounting!$D34</f>
        <v>169.49899899497464</v>
      </c>
      <c r="L31" s="18">
        <f>F31*L$2*Discounting!$D34</f>
        <v>312.45077035175836</v>
      </c>
      <c r="M31" s="18">
        <f>G31*M$2*Discounting!$D34</f>
        <v>997.06109547738561</v>
      </c>
      <c r="N31" s="18">
        <f t="shared" si="3"/>
        <v>4758.2505030150687</v>
      </c>
      <c r="O31" s="23">
        <f>N31*Discounting!C34</f>
        <v>819.34929123860684</v>
      </c>
      <c r="Q31" s="18">
        <f>I31*Discounting!C34</f>
        <v>406.13354044569633</v>
      </c>
      <c r="R31" s="18">
        <f t="shared" si="4"/>
        <v>2399.6896989949719</v>
      </c>
      <c r="S31" s="18"/>
    </row>
    <row r="32" spans="1:19" x14ac:dyDescent="0.25">
      <c r="A32">
        <f>'Auto VMT Savings'!A30</f>
        <v>2044</v>
      </c>
      <c r="B32" s="29">
        <f>'Auto VMT Savings'!B30</f>
        <v>21499.999999999971</v>
      </c>
      <c r="C32" s="70">
        <f t="shared" si="2"/>
        <v>2.4568341708542681E-4</v>
      </c>
      <c r="D32" s="70">
        <f t="shared" si="2"/>
        <v>9.1337185929648115E-4</v>
      </c>
      <c r="E32" s="70">
        <f t="shared" si="2"/>
        <v>5.8853819095477308E-3</v>
      </c>
      <c r="F32" s="70">
        <f t="shared" si="2"/>
        <v>4.8896834170854206E-3</v>
      </c>
      <c r="G32" s="70">
        <f t="shared" si="2"/>
        <v>5.730236180904515E-3</v>
      </c>
      <c r="I32" s="18">
        <f>C32*I$2*Discounting!$D35</f>
        <v>2358.5608040200973</v>
      </c>
      <c r="J32" s="18">
        <f>D32*J$2*Discounting!$D35</f>
        <v>920.67883417085295</v>
      </c>
      <c r="K32" s="18">
        <f>E32*K$2*Discounting!$D35</f>
        <v>169.49899899497464</v>
      </c>
      <c r="L32" s="18">
        <f>F32*L$2*Discounting!$D35</f>
        <v>312.45077035175836</v>
      </c>
      <c r="M32" s="18">
        <f>G32*M$2*Discounting!$D35</f>
        <v>997.06109547738561</v>
      </c>
      <c r="N32" s="18">
        <f t="shared" si="3"/>
        <v>4758.2505030150687</v>
      </c>
      <c r="O32" s="23">
        <f>N32*Discounting!C35</f>
        <v>765.74700115757628</v>
      </c>
      <c r="Q32" s="18">
        <f>I32*Discounting!C35</f>
        <v>379.56405649130488</v>
      </c>
      <c r="R32" s="18">
        <f t="shared" si="4"/>
        <v>2399.6896989949719</v>
      </c>
      <c r="S32" s="18"/>
    </row>
    <row r="33" spans="1:19" x14ac:dyDescent="0.25">
      <c r="A33">
        <f>'Auto VMT Savings'!A31</f>
        <v>2045</v>
      </c>
      <c r="B33" s="29">
        <f>'Auto VMT Savings'!B31</f>
        <v>21499.999999999971</v>
      </c>
      <c r="C33" s="70">
        <f t="shared" si="2"/>
        <v>2.4568341708542681E-4</v>
      </c>
      <c r="D33" s="70">
        <f t="shared" si="2"/>
        <v>9.1337185929648115E-4</v>
      </c>
      <c r="E33" s="70">
        <f t="shared" si="2"/>
        <v>5.8853819095477308E-3</v>
      </c>
      <c r="F33" s="70">
        <f t="shared" si="2"/>
        <v>4.8896834170854206E-3</v>
      </c>
      <c r="G33" s="70">
        <f t="shared" si="2"/>
        <v>5.730236180904515E-3</v>
      </c>
      <c r="I33" s="18">
        <f>C33*I$2*Discounting!$D36</f>
        <v>2358.5608040200973</v>
      </c>
      <c r="J33" s="18">
        <f>D33*J$2*Discounting!$D36</f>
        <v>920.67883417085295</v>
      </c>
      <c r="K33" s="18">
        <f>E33*K$2*Discounting!$D36</f>
        <v>169.49899899497464</v>
      </c>
      <c r="L33" s="18">
        <f>F33*L$2*Discounting!$D36</f>
        <v>312.45077035175836</v>
      </c>
      <c r="M33" s="18">
        <f>G33*M$2*Discounting!$D36</f>
        <v>997.06109547738561</v>
      </c>
      <c r="N33" s="18">
        <f t="shared" si="3"/>
        <v>4758.2505030150687</v>
      </c>
      <c r="O33" s="23">
        <f>N33*Discounting!C36</f>
        <v>715.65140295100593</v>
      </c>
      <c r="Q33" s="18">
        <f>I33*Discounting!C36</f>
        <v>354.73276307598593</v>
      </c>
      <c r="R33" s="18">
        <f t="shared" si="4"/>
        <v>2399.6896989949719</v>
      </c>
      <c r="S33" s="18"/>
    </row>
    <row r="34" spans="1:19" x14ac:dyDescent="0.25">
      <c r="A34">
        <f>'Auto VMT Savings'!A32</f>
        <v>2046</v>
      </c>
      <c r="B34" s="29">
        <f>'Auto VMT Savings'!B32</f>
        <v>21499.999999999971</v>
      </c>
      <c r="C34" s="70">
        <f t="shared" si="2"/>
        <v>2.4568341708542681E-4</v>
      </c>
      <c r="D34" s="70">
        <f t="shared" si="2"/>
        <v>9.1337185929648115E-4</v>
      </c>
      <c r="E34" s="70">
        <f t="shared" si="2"/>
        <v>5.8853819095477308E-3</v>
      </c>
      <c r="F34" s="70">
        <f t="shared" si="2"/>
        <v>4.8896834170854206E-3</v>
      </c>
      <c r="G34" s="70">
        <f t="shared" si="2"/>
        <v>5.730236180904515E-3</v>
      </c>
      <c r="I34" s="18">
        <f>C34*I$2*Discounting!$D37</f>
        <v>2358.5608040200973</v>
      </c>
      <c r="J34" s="18">
        <f>D34*J$2*Discounting!$D37</f>
        <v>920.67883417085295</v>
      </c>
      <c r="K34" s="18">
        <f>E34*K$2*Discounting!$D37</f>
        <v>169.49899899497464</v>
      </c>
      <c r="L34" s="18">
        <f>F34*L$2*Discounting!$D37</f>
        <v>312.45077035175836</v>
      </c>
      <c r="M34" s="18">
        <f>G34*M$2*Discounting!$D37</f>
        <v>997.06109547738561</v>
      </c>
      <c r="N34" s="18">
        <f t="shared" si="3"/>
        <v>4758.2505030150687</v>
      </c>
      <c r="O34" s="23">
        <f>N34*Discounting!C37</f>
        <v>668.83308687009912</v>
      </c>
      <c r="Q34" s="18">
        <f>I34*Discounting!C37</f>
        <v>331.52594679998685</v>
      </c>
      <c r="R34" s="18">
        <f t="shared" si="4"/>
        <v>2399.6896989949719</v>
      </c>
      <c r="S34" s="18"/>
    </row>
    <row r="35" spans="1:19" x14ac:dyDescent="0.25">
      <c r="A35">
        <f>'Auto VMT Savings'!A33</f>
        <v>2047</v>
      </c>
      <c r="B35" s="29">
        <f>'Auto VMT Savings'!B33</f>
        <v>21499.999999999971</v>
      </c>
      <c r="C35" s="70">
        <f t="shared" si="2"/>
        <v>2.4568341708542681E-4</v>
      </c>
      <c r="D35" s="70">
        <f t="shared" si="2"/>
        <v>9.1337185929648115E-4</v>
      </c>
      <c r="E35" s="70">
        <f t="shared" si="2"/>
        <v>5.8853819095477308E-3</v>
      </c>
      <c r="F35" s="70">
        <f t="shared" si="2"/>
        <v>4.8896834170854206E-3</v>
      </c>
      <c r="G35" s="70">
        <f t="shared" si="2"/>
        <v>5.730236180904515E-3</v>
      </c>
      <c r="I35" s="18">
        <f>C35*I$2*Discounting!$D38</f>
        <v>2358.5608040200973</v>
      </c>
      <c r="J35" s="18">
        <f>D35*J$2*Discounting!$D38</f>
        <v>920.67883417085295</v>
      </c>
      <c r="K35" s="18">
        <f>E35*K$2*Discounting!$D38</f>
        <v>169.49899899497464</v>
      </c>
      <c r="L35" s="18">
        <f>F35*L$2*Discounting!$D38</f>
        <v>312.45077035175836</v>
      </c>
      <c r="M35" s="18">
        <f>G35*M$2*Discounting!$D38</f>
        <v>997.06109547738561</v>
      </c>
      <c r="N35" s="18">
        <f t="shared" si="3"/>
        <v>4758.2505030150687</v>
      </c>
      <c r="O35" s="23">
        <f>N35*Discounting!C38</f>
        <v>625.07765128046651</v>
      </c>
      <c r="Q35" s="18">
        <f>I35*Discounting!C38</f>
        <v>309.83733345793166</v>
      </c>
      <c r="R35" s="18">
        <f t="shared" si="4"/>
        <v>2399.6896989949719</v>
      </c>
      <c r="S35" s="18"/>
    </row>
    <row r="36" spans="1:19" x14ac:dyDescent="0.25">
      <c r="A36">
        <f>'Auto VMT Savings'!A34</f>
        <v>2048</v>
      </c>
      <c r="B36" s="29">
        <f>'Auto VMT Savings'!B34</f>
        <v>21499.999999999971</v>
      </c>
      <c r="C36" s="70">
        <f t="shared" si="2"/>
        <v>2.4568341708542681E-4</v>
      </c>
      <c r="D36" s="70">
        <f t="shared" si="2"/>
        <v>9.1337185929648115E-4</v>
      </c>
      <c r="E36" s="70">
        <f t="shared" si="2"/>
        <v>5.8853819095477308E-3</v>
      </c>
      <c r="F36" s="70">
        <f t="shared" si="2"/>
        <v>4.8896834170854206E-3</v>
      </c>
      <c r="G36" s="70">
        <f t="shared" si="2"/>
        <v>5.730236180904515E-3</v>
      </c>
      <c r="I36" s="18">
        <f>C36*I$2*Discounting!$D39</f>
        <v>0</v>
      </c>
      <c r="J36" s="18">
        <f>D36*J$2*Discounting!$D39</f>
        <v>0</v>
      </c>
      <c r="K36" s="18">
        <f>E36*K$2*Discounting!$D39</f>
        <v>0</v>
      </c>
      <c r="L36" s="18">
        <f>F36*L$2*Discounting!$D39</f>
        <v>0</v>
      </c>
      <c r="M36" s="18">
        <f>G36*M$2*Discounting!$D39</f>
        <v>0</v>
      </c>
      <c r="N36" s="18">
        <f t="shared" si="3"/>
        <v>0</v>
      </c>
      <c r="O36" s="23">
        <f>N36*Discounting!C39</f>
        <v>0</v>
      </c>
      <c r="Q36" s="18">
        <f>I36*Discounting!C39</f>
        <v>0</v>
      </c>
      <c r="R36" s="18">
        <f t="shared" si="4"/>
        <v>0</v>
      </c>
      <c r="S36" s="18"/>
    </row>
    <row r="37" spans="1:19" x14ac:dyDescent="0.25">
      <c r="A37">
        <f>'Auto VMT Savings'!A35</f>
        <v>2049</v>
      </c>
      <c r="B37" s="29">
        <f>'Auto VMT Savings'!B35</f>
        <v>21499.999999999971</v>
      </c>
      <c r="C37" s="70">
        <f t="shared" si="2"/>
        <v>2.4568341708542681E-4</v>
      </c>
      <c r="D37" s="70">
        <f t="shared" si="2"/>
        <v>9.1337185929648115E-4</v>
      </c>
      <c r="E37" s="70">
        <f t="shared" si="2"/>
        <v>5.8853819095477308E-3</v>
      </c>
      <c r="F37" s="70">
        <f t="shared" si="2"/>
        <v>4.8896834170854206E-3</v>
      </c>
      <c r="G37" s="70">
        <f t="shared" si="2"/>
        <v>5.730236180904515E-3</v>
      </c>
      <c r="I37" s="18">
        <f>C37*I$2*Discounting!$D40</f>
        <v>0</v>
      </c>
      <c r="J37" s="18">
        <f>D37*J$2*Discounting!$D40</f>
        <v>0</v>
      </c>
      <c r="K37" s="18">
        <f>E37*K$2*Discounting!$D40</f>
        <v>0</v>
      </c>
      <c r="L37" s="18">
        <f>F37*L$2*Discounting!$D40</f>
        <v>0</v>
      </c>
      <c r="M37" s="18">
        <f>G37*M$2*Discounting!$D40</f>
        <v>0</v>
      </c>
      <c r="N37" s="18">
        <f t="shared" si="3"/>
        <v>0</v>
      </c>
      <c r="O37" s="23">
        <f>N37*Discounting!C40</f>
        <v>0</v>
      </c>
      <c r="Q37" s="18">
        <f>I37*Discounting!C40</f>
        <v>0</v>
      </c>
      <c r="R37" s="18">
        <f t="shared" si="4"/>
        <v>0</v>
      </c>
      <c r="S37" s="18"/>
    </row>
    <row r="38" spans="1:19" x14ac:dyDescent="0.25">
      <c r="A38">
        <f>'Auto VMT Savings'!A36</f>
        <v>2050</v>
      </c>
      <c r="B38" s="29">
        <f>'Auto VMT Savings'!B36</f>
        <v>21499.999999999971</v>
      </c>
      <c r="C38" s="70">
        <f t="shared" si="2"/>
        <v>2.4568341708542681E-4</v>
      </c>
      <c r="D38" s="70">
        <f t="shared" si="2"/>
        <v>9.1337185929648115E-4</v>
      </c>
      <c r="E38" s="70">
        <f t="shared" si="2"/>
        <v>5.8853819095477308E-3</v>
      </c>
      <c r="F38" s="70">
        <f t="shared" si="2"/>
        <v>4.8896834170854206E-3</v>
      </c>
      <c r="G38" s="70">
        <f t="shared" si="2"/>
        <v>5.730236180904515E-3</v>
      </c>
      <c r="I38" s="18">
        <f>C38*I$2*Discounting!$D41</f>
        <v>0</v>
      </c>
      <c r="J38" s="18">
        <f>D38*J$2*Discounting!$D41</f>
        <v>0</v>
      </c>
      <c r="K38" s="18">
        <f>E38*K$2*Discounting!$D41</f>
        <v>0</v>
      </c>
      <c r="L38" s="18">
        <f>F38*L$2*Discounting!$D41</f>
        <v>0</v>
      </c>
      <c r="M38" s="18">
        <f>G38*M$2*Discounting!$D41</f>
        <v>0</v>
      </c>
      <c r="N38" s="18">
        <f t="shared" si="3"/>
        <v>0</v>
      </c>
      <c r="O38" s="23">
        <f>N38*Discounting!C41</f>
        <v>0</v>
      </c>
      <c r="Q38" s="18">
        <f>I38*Discounting!C41</f>
        <v>0</v>
      </c>
      <c r="R38" s="18">
        <f t="shared" si="4"/>
        <v>0</v>
      </c>
      <c r="S38" s="18"/>
    </row>
    <row r="39" spans="1:19" x14ac:dyDescent="0.25">
      <c r="A39">
        <f>'Auto VMT Savings'!A37</f>
        <v>2051</v>
      </c>
      <c r="B39" s="29">
        <f>'Auto VMT Savings'!B37</f>
        <v>21499.999999999971</v>
      </c>
      <c r="C39" s="70">
        <f t="shared" si="2"/>
        <v>2.4568341708542681E-4</v>
      </c>
      <c r="D39" s="70">
        <f t="shared" si="2"/>
        <v>9.1337185929648115E-4</v>
      </c>
      <c r="E39" s="70">
        <f t="shared" si="2"/>
        <v>5.8853819095477308E-3</v>
      </c>
      <c r="F39" s="70">
        <f t="shared" si="2"/>
        <v>4.8896834170854206E-3</v>
      </c>
      <c r="G39" s="70">
        <f t="shared" si="2"/>
        <v>5.730236180904515E-3</v>
      </c>
      <c r="I39" s="18">
        <f>C39*I$2*Discounting!$D42</f>
        <v>0</v>
      </c>
      <c r="J39" s="18">
        <f>D39*J$2*Discounting!$D42</f>
        <v>0</v>
      </c>
      <c r="K39" s="18">
        <f>E39*K$2*Discounting!$D42</f>
        <v>0</v>
      </c>
      <c r="L39" s="18">
        <f>F39*L$2*Discounting!$D42</f>
        <v>0</v>
      </c>
      <c r="M39" s="18">
        <f>G39*M$2*Discounting!$D42</f>
        <v>0</v>
      </c>
      <c r="N39" s="18">
        <f t="shared" si="3"/>
        <v>0</v>
      </c>
      <c r="O39" s="23">
        <f>N39*Discounting!C42</f>
        <v>0</v>
      </c>
      <c r="Q39" s="18">
        <f>I39*Discounting!C42</f>
        <v>0</v>
      </c>
      <c r="R39" s="18">
        <f t="shared" si="4"/>
        <v>0</v>
      </c>
      <c r="S39" s="18"/>
    </row>
    <row r="40" spans="1:19" x14ac:dyDescent="0.25">
      <c r="C40" s="70"/>
      <c r="D40" s="70"/>
      <c r="E40" s="70"/>
      <c r="F40" s="70"/>
      <c r="G40" s="70"/>
      <c r="I40" s="18"/>
      <c r="N40" s="18">
        <f>SUM(N5:N39)</f>
        <v>228766.94756501596</v>
      </c>
      <c r="O40" s="18">
        <f>SUM(O5:O39)</f>
        <v>96961.855376977124</v>
      </c>
      <c r="Q40" s="18">
        <f>SUM(Q12:Q39)</f>
        <v>48061.873041844614</v>
      </c>
      <c r="R40" s="18">
        <f>SUM(R12:R39)</f>
        <v>115372.1703374879</v>
      </c>
      <c r="S40" s="18"/>
    </row>
    <row r="42" spans="1:19" x14ac:dyDescent="0.25">
      <c r="C42" s="25"/>
      <c r="D42" s="25"/>
      <c r="E42" s="25"/>
      <c r="F42" s="25"/>
      <c r="G42" s="25"/>
      <c r="O42" s="18"/>
      <c r="Q42" s="18"/>
    </row>
    <row r="44" spans="1:19" x14ac:dyDescent="0.25">
      <c r="C44" s="25"/>
    </row>
    <row r="45" spans="1:19" x14ac:dyDescent="0.25">
      <c r="C45" s="25"/>
    </row>
    <row r="46" spans="1:19" x14ac:dyDescent="0.25">
      <c r="C46" s="25"/>
    </row>
    <row r="47" spans="1:19" x14ac:dyDescent="0.25">
      <c r="C47" s="25"/>
    </row>
    <row r="48" spans="1:19" x14ac:dyDescent="0.25">
      <c r="C48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D1" workbookViewId="0">
      <selection activeCell="V9" sqref="V9:Z40"/>
    </sheetView>
  </sheetViews>
  <sheetFormatPr defaultRowHeight="15" x14ac:dyDescent="0.25"/>
  <cols>
    <col min="3" max="6" width="14.42578125" customWidth="1"/>
    <col min="7" max="7" width="4.85546875" customWidth="1"/>
    <col min="8" max="11" width="13.7109375" customWidth="1"/>
    <col min="12" max="12" width="3.85546875" customWidth="1"/>
    <col min="13" max="17" width="16.28515625" customWidth="1"/>
    <col min="18" max="18" width="2.5703125" customWidth="1"/>
  </cols>
  <sheetData>
    <row r="1" spans="1:25" x14ac:dyDescent="0.25">
      <c r="E1" t="s">
        <v>70</v>
      </c>
      <c r="H1">
        <v>9.9999999999999995E-7</v>
      </c>
      <c r="M1" t="s">
        <v>71</v>
      </c>
      <c r="S1" t="s">
        <v>10</v>
      </c>
      <c r="T1" t="s">
        <v>8</v>
      </c>
    </row>
    <row r="2" spans="1:25" x14ac:dyDescent="0.25">
      <c r="A2" t="s">
        <v>33</v>
      </c>
      <c r="B2" t="s">
        <v>40</v>
      </c>
      <c r="C2" t="s">
        <v>66</v>
      </c>
      <c r="D2" t="s">
        <v>67</v>
      </c>
      <c r="E2" t="s">
        <v>68</v>
      </c>
      <c r="F2" t="s">
        <v>69</v>
      </c>
      <c r="H2" t="s">
        <v>66</v>
      </c>
      <c r="I2" t="s">
        <v>67</v>
      </c>
      <c r="J2" t="s">
        <v>68</v>
      </c>
      <c r="K2" t="s">
        <v>69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S2" t="s">
        <v>87</v>
      </c>
      <c r="T2" t="s">
        <v>87</v>
      </c>
    </row>
    <row r="3" spans="1:25" x14ac:dyDescent="0.25">
      <c r="M3" s="23">
        <f>InpC!D9</f>
        <v>9142.4500000000007</v>
      </c>
      <c r="N3" s="23">
        <f>InpC!D10</f>
        <v>416146.7</v>
      </c>
      <c r="O3" s="23">
        <f>InpC!D11</f>
        <v>53863.35</v>
      </c>
      <c r="P3" s="23">
        <f>InpC!D12</f>
        <v>2203</v>
      </c>
    </row>
    <row r="4" spans="1:25" x14ac:dyDescent="0.25">
      <c r="A4">
        <f>'Auto VMT Savings'!A3</f>
        <v>2017</v>
      </c>
      <c r="B4" s="29">
        <f>'Auto VMT Savings'!B3</f>
        <v>0</v>
      </c>
      <c r="T4" s="29">
        <f>S4*Discounting!C8</f>
        <v>0</v>
      </c>
    </row>
    <row r="5" spans="1:25" x14ac:dyDescent="0.25">
      <c r="A5">
        <f>'Auto VMT Savings'!A4</f>
        <v>2018</v>
      </c>
      <c r="B5" s="29">
        <f>'Auto VMT Savings'!B4</f>
        <v>0</v>
      </c>
      <c r="T5" s="29">
        <f>S5*Discounting!C9</f>
        <v>0</v>
      </c>
    </row>
    <row r="6" spans="1:25" x14ac:dyDescent="0.25">
      <c r="A6">
        <f>'Auto VMT Savings'!A5</f>
        <v>2019</v>
      </c>
      <c r="B6" s="29">
        <f>'Auto VMT Savings'!B5</f>
        <v>0</v>
      </c>
      <c r="T6" s="29">
        <f>S6*Discounting!C10</f>
        <v>0</v>
      </c>
    </row>
    <row r="7" spans="1:25" x14ac:dyDescent="0.25">
      <c r="A7">
        <f>'Auto VMT Savings'!A6</f>
        <v>2020</v>
      </c>
      <c r="B7" s="29">
        <f>'Auto VMT Savings'!B6</f>
        <v>0</v>
      </c>
      <c r="T7" s="29">
        <f>S7*Discounting!C11</f>
        <v>0</v>
      </c>
    </row>
    <row r="8" spans="1:25" x14ac:dyDescent="0.25">
      <c r="A8">
        <f>'Auto VMT Savings'!A7</f>
        <v>2021</v>
      </c>
      <c r="B8" s="29">
        <f>'Auto VMT Savings'!B7</f>
        <v>0</v>
      </c>
      <c r="T8" s="29">
        <f>S8*Discounting!C12</f>
        <v>0</v>
      </c>
    </row>
    <row r="9" spans="1:25" x14ac:dyDescent="0.25">
      <c r="A9">
        <f>'Auto VMT Savings'!A8</f>
        <v>2022</v>
      </c>
      <c r="B9" s="29">
        <f>'Auto VMT Savings'!B8</f>
        <v>0</v>
      </c>
      <c r="C9" s="68">
        <v>10.0845608585477</v>
      </c>
      <c r="D9" s="68">
        <v>2.35653257231551E-2</v>
      </c>
      <c r="E9" s="68">
        <v>0.102477515527053</v>
      </c>
      <c r="F9" s="68">
        <v>0.48870000000000013</v>
      </c>
      <c r="G9" s="67"/>
      <c r="H9" s="25">
        <f t="shared" ref="H9:H38" si="0">$B9*C9*$H$1</f>
        <v>0</v>
      </c>
      <c r="I9" s="25">
        <f t="shared" ref="I9:I38" si="1">$B9*D9*$H$1</f>
        <v>0</v>
      </c>
      <c r="J9" s="25">
        <f t="shared" ref="J9:J38" si="2">$B9*E9*$H$1</f>
        <v>0</v>
      </c>
      <c r="K9" s="25">
        <f t="shared" ref="K9:K38" si="3">$B9*F9*$H$1</f>
        <v>0</v>
      </c>
      <c r="L9" s="25"/>
      <c r="M9" s="18">
        <f>H9*$M$3*Discounting!D13</f>
        <v>0</v>
      </c>
      <c r="N9" s="18">
        <f>J9*$N$3*Discounting!D13</f>
        <v>0</v>
      </c>
      <c r="O9" s="18">
        <f>I9*$O$3*Discounting!D13</f>
        <v>0</v>
      </c>
      <c r="P9" s="18">
        <f>K9*$P$3*Discounting!D13</f>
        <v>0</v>
      </c>
      <c r="Q9" s="18">
        <f>SUM(M9:P9)</f>
        <v>0</v>
      </c>
      <c r="S9" s="18">
        <f>Q9</f>
        <v>0</v>
      </c>
      <c r="T9" s="18">
        <f>S9*Discounting!C13</f>
        <v>0</v>
      </c>
      <c r="V9" s="18"/>
      <c r="W9" s="18"/>
      <c r="X9" s="18"/>
      <c r="Y9" s="18"/>
    </row>
    <row r="10" spans="1:25" x14ac:dyDescent="0.25">
      <c r="A10">
        <f>'Auto VMT Savings'!A9</f>
        <v>2023</v>
      </c>
      <c r="B10" s="29">
        <f>'Auto VMT Savings'!B9</f>
        <v>-8000</v>
      </c>
      <c r="C10" s="68">
        <v>9.4406256341437</v>
      </c>
      <c r="D10" s="68">
        <v>2.35192800162255E-2</v>
      </c>
      <c r="E10" s="68">
        <v>9.6735130004057104E-2</v>
      </c>
      <c r="F10" s="68">
        <v>0.45396000000000014</v>
      </c>
      <c r="G10" s="68"/>
      <c r="H10" s="25">
        <f t="shared" si="0"/>
        <v>-7.5525005073149604E-2</v>
      </c>
      <c r="I10" s="25">
        <f t="shared" si="1"/>
        <v>-1.8815424012980401E-4</v>
      </c>
      <c r="J10" s="25">
        <f t="shared" si="2"/>
        <v>-7.7388104003245676E-4</v>
      </c>
      <c r="K10" s="25">
        <f t="shared" si="3"/>
        <v>-3.6316800000000008E-3</v>
      </c>
      <c r="L10" s="25"/>
      <c r="M10" s="18">
        <f>H10*$M$3*Discounting!D14</f>
        <v>0</v>
      </c>
      <c r="N10" s="18">
        <f>J10*$N$3*Discounting!D14</f>
        <v>0</v>
      </c>
      <c r="O10" s="18">
        <f>I10*$O$3*Discounting!D14</f>
        <v>0</v>
      </c>
      <c r="P10" s="18">
        <f>K10*$P$3*Discounting!D14</f>
        <v>0</v>
      </c>
      <c r="Q10" s="18">
        <f>SUM(M10:P10)</f>
        <v>0</v>
      </c>
      <c r="R10" s="18"/>
      <c r="S10" s="18">
        <f t="shared" ref="S10:S38" si="4">Q10</f>
        <v>0</v>
      </c>
      <c r="T10" s="18">
        <f>S10*Discounting!C14</f>
        <v>0</v>
      </c>
      <c r="V10" s="18"/>
      <c r="W10" s="18"/>
      <c r="X10" s="18"/>
      <c r="Y10" s="18"/>
    </row>
    <row r="11" spans="1:25" x14ac:dyDescent="0.25">
      <c r="A11">
        <f>'Auto VMT Savings'!A10</f>
        <v>2024</v>
      </c>
      <c r="B11" s="29">
        <f>'Auto VMT Savings'!B10</f>
        <v>125399.99999999997</v>
      </c>
      <c r="C11" s="68">
        <v>8.7662193524070506</v>
      </c>
      <c r="D11" s="68">
        <v>2.3468269222118199E-2</v>
      </c>
      <c r="E11" s="68">
        <v>9.0500794504941307E-2</v>
      </c>
      <c r="F11" s="68">
        <v>0.41922000000000015</v>
      </c>
      <c r="G11" s="68"/>
      <c r="H11" s="25">
        <f t="shared" si="0"/>
        <v>1.0992839067918438</v>
      </c>
      <c r="I11" s="25">
        <f t="shared" si="1"/>
        <v>2.9429209604536211E-3</v>
      </c>
      <c r="J11" s="25">
        <f t="shared" si="2"/>
        <v>1.1348799630919636E-2</v>
      </c>
      <c r="K11" s="25">
        <f t="shared" si="3"/>
        <v>5.2570188000000004E-2</v>
      </c>
      <c r="L11" s="25"/>
      <c r="M11" s="18">
        <f>H11*$M$3*Discounting!D15</f>
        <v>10050.148153649094</v>
      </c>
      <c r="N11" s="18">
        <f>J11*$N$3*Discounting!D15</f>
        <v>4722.7655153684245</v>
      </c>
      <c r="O11" s="18">
        <f>I11*$O$3*Discounting!D15</f>
        <v>158.51558171524954</v>
      </c>
      <c r="P11" s="18">
        <f>K11*$P$3*Discounting!D15</f>
        <v>115.81212416400001</v>
      </c>
      <c r="Q11" s="18">
        <f t="shared" ref="Q11:Q38" si="5">SUM(M11:P11)</f>
        <v>15047.241374896768</v>
      </c>
      <c r="R11" s="18"/>
      <c r="S11" s="18">
        <f t="shared" si="4"/>
        <v>15047.241374896768</v>
      </c>
      <c r="T11" s="18">
        <f>S11*Discounting!C15</f>
        <v>9370.6656822921013</v>
      </c>
      <c r="V11" s="18"/>
      <c r="W11" s="18"/>
      <c r="X11" s="18"/>
      <c r="Y11" s="18"/>
    </row>
    <row r="12" spans="1:25" x14ac:dyDescent="0.25">
      <c r="A12">
        <f>'Auto VMT Savings'!A11</f>
        <v>2025</v>
      </c>
      <c r="B12" s="29">
        <f>'Auto VMT Savings'!B11</f>
        <v>112579.99999999997</v>
      </c>
      <c r="C12" s="68">
        <v>8.01656873690421</v>
      </c>
      <c r="D12" s="68">
        <v>2.3326722795055901E-2</v>
      </c>
      <c r="E12" s="68">
        <v>8.2314815942291703E-2</v>
      </c>
      <c r="F12" s="68">
        <v>0.38448000000000015</v>
      </c>
      <c r="G12" s="68"/>
      <c r="H12" s="25">
        <f t="shared" si="0"/>
        <v>0.90250530840067578</v>
      </c>
      <c r="I12" s="25">
        <f t="shared" si="1"/>
        <v>2.6261224522673922E-3</v>
      </c>
      <c r="J12" s="25">
        <f t="shared" si="2"/>
        <v>9.2670019787831973E-3</v>
      </c>
      <c r="K12" s="25">
        <f t="shared" si="3"/>
        <v>4.3284758400000005E-2</v>
      </c>
      <c r="L12" s="25"/>
      <c r="M12" s="18">
        <f>H12*$M$3*Discounting!D16</f>
        <v>8251.1096567877594</v>
      </c>
      <c r="N12" s="18">
        <f>J12*$N$3*Discounting!D16</f>
        <v>3856.4322923640975</v>
      </c>
      <c r="O12" s="18">
        <f>I12*$O$3*Discounting!D16</f>
        <v>141.45175278933684</v>
      </c>
      <c r="P12" s="18">
        <f>K12*$P$3*Discounting!D16</f>
        <v>95.356322755200011</v>
      </c>
      <c r="Q12" s="18">
        <f t="shared" si="5"/>
        <v>12344.350024696394</v>
      </c>
      <c r="R12" s="18"/>
      <c r="S12" s="18">
        <f t="shared" si="4"/>
        <v>12344.350024696394</v>
      </c>
      <c r="T12" s="18">
        <f>S12*Discounting!C16</f>
        <v>7184.5241043109581</v>
      </c>
      <c r="V12" s="18"/>
      <c r="W12" s="18"/>
      <c r="X12" s="18"/>
      <c r="Y12" s="18"/>
    </row>
    <row r="13" spans="1:25" x14ac:dyDescent="0.25">
      <c r="A13">
        <f>'Auto VMT Savings'!A12</f>
        <v>2026</v>
      </c>
      <c r="B13" s="29">
        <f>'Auto VMT Savings'!B12</f>
        <v>104254.09999999998</v>
      </c>
      <c r="C13" s="68">
        <v>7.2320367037589204</v>
      </c>
      <c r="D13" s="68">
        <v>2.31807480973233E-2</v>
      </c>
      <c r="E13" s="68">
        <v>7.3550899388418994E-2</v>
      </c>
      <c r="F13" s="68">
        <v>0.34974000000000016</v>
      </c>
      <c r="G13" s="68"/>
      <c r="H13" s="25">
        <f t="shared" si="0"/>
        <v>0.75396947771735268</v>
      </c>
      <c r="I13" s="25">
        <f t="shared" si="1"/>
        <v>2.4166880302131525E-3</v>
      </c>
      <c r="J13" s="25">
        <f t="shared" si="2"/>
        <v>7.6679828199301709E-3</v>
      </c>
      <c r="K13" s="25">
        <f t="shared" si="3"/>
        <v>3.6461828934000011E-2</v>
      </c>
      <c r="L13" s="25"/>
      <c r="M13" s="18">
        <f>H13*$M$3*Discounting!D17</f>
        <v>6893.1282515570119</v>
      </c>
      <c r="N13" s="18">
        <f>J13*$N$3*Discounting!D17</f>
        <v>3191.0057461706351</v>
      </c>
      <c r="O13" s="18">
        <f>I13*$O$3*Discounting!D17</f>
        <v>130.1709132121816</v>
      </c>
      <c r="P13" s="18">
        <f>K13*$P$3*Discounting!D17</f>
        <v>80.325409141602023</v>
      </c>
      <c r="Q13" s="18">
        <f t="shared" si="5"/>
        <v>10294.630320081431</v>
      </c>
      <c r="R13" s="18"/>
      <c r="S13" s="18">
        <f t="shared" si="4"/>
        <v>10294.630320081431</v>
      </c>
      <c r="T13" s="18">
        <f>S13*Discounting!C17</f>
        <v>5599.5967985221387</v>
      </c>
      <c r="V13" s="18"/>
      <c r="W13" s="18"/>
      <c r="X13" s="18"/>
      <c r="Y13" s="18"/>
    </row>
    <row r="14" spans="1:25" x14ac:dyDescent="0.25">
      <c r="A14">
        <f>'Auto VMT Savings'!A13</f>
        <v>2027</v>
      </c>
      <c r="B14" s="29">
        <f>'Auto VMT Savings'!B13</f>
        <v>94720.944499999983</v>
      </c>
      <c r="C14" s="68">
        <v>6.5325529974554497</v>
      </c>
      <c r="D14" s="68">
        <v>2.3076195559554299E-2</v>
      </c>
      <c r="E14" s="68">
        <v>6.6088643635689504E-2</v>
      </c>
      <c r="F14" s="68">
        <v>0.31500000000000017</v>
      </c>
      <c r="G14" s="68"/>
      <c r="H14" s="25">
        <f t="shared" si="0"/>
        <v>0.61876958991528619</v>
      </c>
      <c r="I14" s="25">
        <f t="shared" si="1"/>
        <v>2.185799038867689E-3</v>
      </c>
      <c r="J14" s="25">
        <f t="shared" si="2"/>
        <v>6.259978745896423E-3</v>
      </c>
      <c r="K14" s="25">
        <f t="shared" si="3"/>
        <v>2.9837097517500008E-2</v>
      </c>
      <c r="L14" s="25"/>
      <c r="M14" s="18">
        <f>H14*$M$3*Discounting!D18</f>
        <v>5657.0700373210084</v>
      </c>
      <c r="N14" s="18">
        <f>J14*$N$3*Discounting!D18</f>
        <v>2605.0694971749349</v>
      </c>
      <c r="O14" s="18">
        <f>I14*$O$3*Discounting!D18</f>
        <v>117.73445866019394</v>
      </c>
      <c r="P14" s="18">
        <f>K14*$P$3*Discounting!D18</f>
        <v>65.731125831052523</v>
      </c>
      <c r="Q14" s="18">
        <f t="shared" si="5"/>
        <v>8445.6051189871905</v>
      </c>
      <c r="R14" s="18"/>
      <c r="S14" s="18">
        <f t="shared" si="4"/>
        <v>8445.6051189871905</v>
      </c>
      <c r="T14" s="18">
        <f>S14*Discounting!C18</f>
        <v>4293.3173838864877</v>
      </c>
      <c r="V14" s="18"/>
      <c r="W14" s="18"/>
      <c r="X14" s="18"/>
      <c r="Y14" s="18"/>
    </row>
    <row r="15" spans="1:25" x14ac:dyDescent="0.25">
      <c r="A15">
        <f>'Auto VMT Savings'!A14</f>
        <v>2028</v>
      </c>
      <c r="B15" s="29">
        <f>'Auto VMT Savings'!B14</f>
        <v>83805.481452499982</v>
      </c>
      <c r="C15" s="68">
        <v>5.82818527466062</v>
      </c>
      <c r="D15" s="68">
        <v>2.2947560299865E-2</v>
      </c>
      <c r="E15" s="68">
        <v>5.8103364055219098E-2</v>
      </c>
      <c r="F15" s="68">
        <v>0.28026000000000018</v>
      </c>
      <c r="G15" s="68"/>
      <c r="H15" s="25">
        <f t="shared" si="0"/>
        <v>0.48843387293730406</v>
      </c>
      <c r="I15" s="25">
        <f t="shared" si="1"/>
        <v>1.923131339090461E-3</v>
      </c>
      <c r="J15" s="25">
        <f t="shared" si="2"/>
        <v>4.869380398657518E-3</v>
      </c>
      <c r="K15" s="25">
        <f t="shared" si="3"/>
        <v>2.348732423187766E-2</v>
      </c>
      <c r="L15" s="25"/>
      <c r="M15" s="18">
        <f>H15*$M$3*Discounting!D19</f>
        <v>4465.482261635656</v>
      </c>
      <c r="N15" s="18">
        <f>J15*$N$3*Discounting!D19</f>
        <v>2026.3765839460107</v>
      </c>
      <c r="O15" s="18">
        <f>I15*$O$3*Discounting!D19</f>
        <v>103.58629641339819</v>
      </c>
      <c r="P15" s="18">
        <f>K15*$P$3*Discounting!D19</f>
        <v>51.742575282826486</v>
      </c>
      <c r="Q15" s="18">
        <f t="shared" si="5"/>
        <v>6647.1877172778914</v>
      </c>
      <c r="R15" s="18"/>
      <c r="S15" s="18">
        <f t="shared" si="4"/>
        <v>6647.1877172778914</v>
      </c>
      <c r="T15" s="18">
        <f>S15*Discounting!C19</f>
        <v>3158.0310007147723</v>
      </c>
      <c r="V15" s="18"/>
      <c r="W15" s="18"/>
      <c r="X15" s="18"/>
      <c r="Y15" s="18"/>
    </row>
    <row r="16" spans="1:25" x14ac:dyDescent="0.25">
      <c r="A16">
        <f>'Auto VMT Savings'!A15</f>
        <v>2029</v>
      </c>
      <c r="B16" s="29">
        <f>'Auto VMT Savings'!B15</f>
        <v>71307.276263112479</v>
      </c>
      <c r="C16" s="68">
        <v>4.9967009187887701</v>
      </c>
      <c r="D16" s="68">
        <v>2.27149541222069E-2</v>
      </c>
      <c r="E16" s="68">
        <v>4.7851490479986603E-2</v>
      </c>
      <c r="F16" s="68">
        <v>0.24552000000000018</v>
      </c>
      <c r="G16" s="68"/>
      <c r="H16" s="25">
        <f t="shared" si="0"/>
        <v>0.3563011328202188</v>
      </c>
      <c r="I16" s="25">
        <f t="shared" si="1"/>
        <v>1.6197415088961328E-3</v>
      </c>
      <c r="J16" s="25">
        <f t="shared" si="2"/>
        <v>3.4121594512581013E-3</v>
      </c>
      <c r="K16" s="25">
        <f t="shared" si="3"/>
        <v>1.7507362468119389E-2</v>
      </c>
      <c r="L16" s="25"/>
      <c r="M16" s="18">
        <f>H16*$M$3*Discounting!D20</f>
        <v>3257.4652917522099</v>
      </c>
      <c r="N16" s="18">
        <f>J16*$N$3*Discounting!D20</f>
        <v>1419.9588955148697</v>
      </c>
      <c r="O16" s="18">
        <f>I16*$O$3*Discounting!D20</f>
        <v>87.244703803200508</v>
      </c>
      <c r="P16" s="18">
        <f>K16*$P$3*Discounting!D20</f>
        <v>38.568719517267013</v>
      </c>
      <c r="Q16" s="18">
        <f t="shared" si="5"/>
        <v>4803.2376105875464</v>
      </c>
      <c r="R16" s="18"/>
      <c r="S16" s="18">
        <f t="shared" si="4"/>
        <v>4803.2376105875464</v>
      </c>
      <c r="T16" s="18">
        <f>S16*Discounting!C20</f>
        <v>2132.6949421757645</v>
      </c>
      <c r="V16" s="18"/>
      <c r="W16" s="18"/>
      <c r="X16" s="18"/>
      <c r="Y16" s="18"/>
    </row>
    <row r="17" spans="1:25" x14ac:dyDescent="0.25">
      <c r="A17">
        <f>'Auto VMT Savings'!A16</f>
        <v>2030</v>
      </c>
      <c r="B17" s="29">
        <f>'Auto VMT Savings'!B16</f>
        <v>56996.831321263802</v>
      </c>
      <c r="C17" s="68">
        <v>4.5355553449521002</v>
      </c>
      <c r="D17" s="68">
        <v>2.2649900123820999E-2</v>
      </c>
      <c r="E17" s="68">
        <v>4.3137651473009901E-2</v>
      </c>
      <c r="F17" s="68">
        <v>0.21078000000000019</v>
      </c>
      <c r="G17" s="68"/>
      <c r="H17" s="25">
        <f t="shared" si="0"/>
        <v>0.2585122829444913</v>
      </c>
      <c r="I17" s="25">
        <f t="shared" si="1"/>
        <v>1.2909725368008976E-3</v>
      </c>
      <c r="J17" s="25">
        <f t="shared" si="2"/>
        <v>2.458709444602612E-3</v>
      </c>
      <c r="K17" s="25">
        <f t="shared" si="3"/>
        <v>1.2013792105895994E-2</v>
      </c>
      <c r="L17" s="25"/>
      <c r="M17" s="18">
        <f>H17*$M$3*Discounting!D21</f>
        <v>2363.4356212058647</v>
      </c>
      <c r="N17" s="18">
        <f>J17*$N$3*Discounting!D21</f>
        <v>1023.1838216302099</v>
      </c>
      <c r="O17" s="18">
        <f>I17*$O$3*Discounting!D21</f>
        <v>69.536105590094621</v>
      </c>
      <c r="P17" s="18">
        <f>K17*$P$3*Discounting!D21</f>
        <v>26.466384009288873</v>
      </c>
      <c r="Q17" s="18">
        <f t="shared" si="5"/>
        <v>3482.6219324354579</v>
      </c>
      <c r="R17" s="18"/>
      <c r="S17" s="18">
        <f t="shared" si="4"/>
        <v>3482.6219324354579</v>
      </c>
      <c r="T17" s="18">
        <f>S17*Discounting!C21</f>
        <v>1445.1642873975916</v>
      </c>
      <c r="V17" s="18"/>
      <c r="W17" s="18"/>
      <c r="X17" s="18"/>
      <c r="Y17" s="18"/>
    </row>
    <row r="18" spans="1:25" x14ac:dyDescent="0.25">
      <c r="A18">
        <f>'Auto VMT Savings'!A17</f>
        <v>2031</v>
      </c>
      <c r="B18" s="29">
        <f>'Auto VMT Savings'!B17</f>
        <v>40611.371862847052</v>
      </c>
      <c r="C18" s="68">
        <v>4.1243992446684601</v>
      </c>
      <c r="D18" s="68">
        <v>2.2573666654958299E-2</v>
      </c>
      <c r="E18" s="68">
        <v>3.8613861794995499E-2</v>
      </c>
      <c r="F18" s="68">
        <v>0.1760400000000002</v>
      </c>
      <c r="G18" s="68"/>
      <c r="H18" s="25">
        <f t="shared" si="0"/>
        <v>0.16749751143607633</v>
      </c>
      <c r="I18" s="25">
        <f t="shared" si="1"/>
        <v>9.1674757083246212E-4</v>
      </c>
      <c r="J18" s="25">
        <f t="shared" si="2"/>
        <v>1.5681619004171449E-3</v>
      </c>
      <c r="K18" s="25">
        <f t="shared" si="3"/>
        <v>7.1492259027356028E-3</v>
      </c>
      <c r="L18" s="25"/>
      <c r="M18" s="18">
        <f>H18*$M$3*Discounting!D22</f>
        <v>1531.3376234287562</v>
      </c>
      <c r="N18" s="18">
        <f>J18*$N$3*Discounting!D22</f>
        <v>652.5853999243235</v>
      </c>
      <c r="O18" s="18">
        <f>I18*$O$3*Discounting!D22</f>
        <v>49.379095269398697</v>
      </c>
      <c r="P18" s="18">
        <f>K18*$P$3*Discounting!D22</f>
        <v>15.749744663726533</v>
      </c>
      <c r="Q18" s="18">
        <f t="shared" si="5"/>
        <v>2249.0518632862049</v>
      </c>
      <c r="R18" s="18"/>
      <c r="S18" s="18">
        <f t="shared" si="4"/>
        <v>2249.0518632862049</v>
      </c>
      <c r="T18" s="18">
        <f>S18*Discounting!C22</f>
        <v>872.22108852452982</v>
      </c>
      <c r="V18" s="18"/>
      <c r="W18" s="18"/>
      <c r="X18" s="18"/>
      <c r="Y18" s="18"/>
    </row>
    <row r="19" spans="1:25" x14ac:dyDescent="0.25">
      <c r="A19">
        <f>'Auto VMT Savings'!A18</f>
        <v>2032</v>
      </c>
      <c r="B19" s="29">
        <f>'Auto VMT Savings'!B18</f>
        <v>21499.999999999971</v>
      </c>
      <c r="C19" s="68">
        <v>3.8071691333418398</v>
      </c>
      <c r="D19" s="68">
        <v>2.25117785369983E-2</v>
      </c>
      <c r="E19" s="68">
        <v>3.5324373629446598E-2</v>
      </c>
      <c r="F19" s="68">
        <v>0.1413000000000002</v>
      </c>
      <c r="G19" s="68"/>
      <c r="H19" s="25">
        <f t="shared" si="0"/>
        <v>8.1854136366849448E-2</v>
      </c>
      <c r="I19" s="25">
        <f t="shared" si="1"/>
        <v>4.8400323854546278E-4</v>
      </c>
      <c r="J19" s="25">
        <f t="shared" si="2"/>
        <v>7.5947403303310078E-4</v>
      </c>
      <c r="K19" s="25">
        <f t="shared" si="3"/>
        <v>3.0379500000000002E-3</v>
      </c>
      <c r="L19" s="25"/>
      <c r="M19" s="18">
        <f>H19*$M$3*Discounting!D23</f>
        <v>748.34734902710284</v>
      </c>
      <c r="N19" s="18">
        <f>J19*$N$3*Discounting!D23</f>
        <v>316.05261258241586</v>
      </c>
      <c r="O19" s="18">
        <f>I19*$O$3*Discounting!D23</f>
        <v>26.070035838907753</v>
      </c>
      <c r="P19" s="18">
        <f>K19*$P$3*Discounting!D23</f>
        <v>6.6926038500000002</v>
      </c>
      <c r="Q19" s="18">
        <f t="shared" si="5"/>
        <v>1097.1626012984264</v>
      </c>
      <c r="R19" s="18"/>
      <c r="S19" s="18">
        <f t="shared" si="4"/>
        <v>1097.1626012984264</v>
      </c>
      <c r="T19" s="18">
        <f>S19*Discounting!C23</f>
        <v>397.66221774107186</v>
      </c>
      <c r="V19" s="18"/>
      <c r="W19" s="18"/>
      <c r="X19" s="18"/>
      <c r="Y19" s="18"/>
    </row>
    <row r="20" spans="1:25" x14ac:dyDescent="0.25">
      <c r="A20">
        <f>'Auto VMT Savings'!A19</f>
        <v>2033</v>
      </c>
      <c r="B20" s="29">
        <f>'Auto VMT Savings'!B19</f>
        <v>21499.999999999971</v>
      </c>
      <c r="C20" s="68">
        <v>3.32765217696898</v>
      </c>
      <c r="D20" s="68">
        <v>2.2329419667358599E-2</v>
      </c>
      <c r="E20" s="68">
        <v>2.9239592340418199E-2</v>
      </c>
      <c r="F20" s="68">
        <v>0.1065600000000002</v>
      </c>
      <c r="G20" s="68"/>
      <c r="H20" s="25">
        <f t="shared" si="0"/>
        <v>7.1544521804832964E-2</v>
      </c>
      <c r="I20" s="25">
        <f t="shared" si="1"/>
        <v>4.8008252284820923E-4</v>
      </c>
      <c r="J20" s="25">
        <f t="shared" si="2"/>
        <v>6.2865123531899035E-4</v>
      </c>
      <c r="K20" s="25">
        <f t="shared" si="3"/>
        <v>2.2910400000000011E-3</v>
      </c>
      <c r="L20" s="25"/>
      <c r="M20" s="18">
        <f>H20*$M$3*Discounting!D24</f>
        <v>654.09221337459519</v>
      </c>
      <c r="N20" s="18">
        <f>J20*$N$3*Discounting!D24</f>
        <v>261.61113702892129</v>
      </c>
      <c r="O20" s="18">
        <f>I20*$O$3*Discounting!D24</f>
        <v>25.85885295705609</v>
      </c>
      <c r="P20" s="18">
        <f>K20*$P$3*Discounting!D24</f>
        <v>5.0471611200000028</v>
      </c>
      <c r="Q20" s="18">
        <f t="shared" si="5"/>
        <v>946.60936448057259</v>
      </c>
      <c r="R20" s="18"/>
      <c r="S20" s="18">
        <f t="shared" si="4"/>
        <v>946.60936448057259</v>
      </c>
      <c r="T20" s="18">
        <f>S20*Discounting!C24</f>
        <v>320.64934234781987</v>
      </c>
      <c r="V20" s="18"/>
      <c r="W20" s="18"/>
      <c r="X20" s="18"/>
      <c r="Y20" s="18"/>
    </row>
    <row r="21" spans="1:25" x14ac:dyDescent="0.25">
      <c r="A21">
        <f>'Auto VMT Savings'!A20</f>
        <v>2034</v>
      </c>
      <c r="B21" s="29">
        <f>'Auto VMT Savings'!B20</f>
        <v>21499.999999999971</v>
      </c>
      <c r="C21" s="68">
        <v>2.9132324747457101</v>
      </c>
      <c r="D21" s="68">
        <v>2.2166914102550998E-2</v>
      </c>
      <c r="E21" s="68">
        <v>2.4040283718490402E-2</v>
      </c>
      <c r="F21" s="68">
        <v>7.1820000000000189E-2</v>
      </c>
      <c r="G21" s="68"/>
      <c r="H21" s="25">
        <f t="shared" si="0"/>
        <v>6.2634498207032679E-2</v>
      </c>
      <c r="I21" s="25">
        <f t="shared" si="1"/>
        <v>4.765886532048458E-4</v>
      </c>
      <c r="J21" s="25">
        <f t="shared" si="2"/>
        <v>5.1686609994754291E-4</v>
      </c>
      <c r="K21" s="25">
        <f t="shared" si="3"/>
        <v>1.5441300000000018E-3</v>
      </c>
      <c r="L21" s="25"/>
      <c r="M21" s="18">
        <f>H21*$M$3*Discounting!D25</f>
        <v>572.63276813288599</v>
      </c>
      <c r="N21" s="18">
        <f>J21*$N$3*Discounting!D25</f>
        <v>215.09212183504016</v>
      </c>
      <c r="O21" s="18">
        <f>I21*$O$3*Discounting!D25</f>
        <v>25.670661433601232</v>
      </c>
      <c r="P21" s="18">
        <f>K21*$P$3*Discounting!D25</f>
        <v>3.4017183900000041</v>
      </c>
      <c r="Q21" s="18">
        <f t="shared" si="5"/>
        <v>816.79726979152747</v>
      </c>
      <c r="R21" s="18"/>
      <c r="S21" s="18">
        <f t="shared" si="4"/>
        <v>816.79726979152747</v>
      </c>
      <c r="T21" s="18">
        <f>S21*Discounting!C25</f>
        <v>258.57709781700214</v>
      </c>
      <c r="V21" s="18"/>
      <c r="W21" s="18"/>
      <c r="X21" s="18"/>
      <c r="Y21" s="18"/>
    </row>
    <row r="22" spans="1:25" x14ac:dyDescent="0.25">
      <c r="A22">
        <f>'Auto VMT Savings'!A21</f>
        <v>2035</v>
      </c>
      <c r="B22" s="29">
        <f>'Auto VMT Savings'!B21</f>
        <v>21499.999999999971</v>
      </c>
      <c r="C22" s="68">
        <v>2.5704077879518801</v>
      </c>
      <c r="D22" s="68">
        <v>2.20014551502636E-2</v>
      </c>
      <c r="E22" s="68">
        <v>1.9630685727375301E-2</v>
      </c>
      <c r="F22" s="68">
        <v>3.7080000000000182E-2</v>
      </c>
      <c r="G22" s="68"/>
      <c r="H22" s="25">
        <f t="shared" si="0"/>
        <v>5.5263767440965346E-2</v>
      </c>
      <c r="I22" s="25">
        <f t="shared" si="1"/>
        <v>4.7303128573066673E-4</v>
      </c>
      <c r="J22" s="25">
        <f t="shared" si="2"/>
        <v>4.2205974313856839E-4</v>
      </c>
      <c r="K22" s="25">
        <f t="shared" si="3"/>
        <v>7.9722000000000289E-4</v>
      </c>
      <c r="L22" s="25"/>
      <c r="M22" s="18">
        <f>H22*$M$3*Discounting!D26</f>
        <v>505.24623064065366</v>
      </c>
      <c r="N22" s="18">
        <f>J22*$N$3*Discounting!D26</f>
        <v>175.6387693099629</v>
      </c>
      <c r="O22" s="18">
        <f>I22*$O$3*Discounting!D26</f>
        <v>25.479049704260905</v>
      </c>
      <c r="P22" s="18">
        <f>K22*$P$3*Discounting!D26</f>
        <v>1.7562756600000065</v>
      </c>
      <c r="Q22" s="18">
        <f t="shared" si="5"/>
        <v>708.1203253148775</v>
      </c>
      <c r="R22" s="18"/>
      <c r="S22" s="18">
        <f t="shared" si="4"/>
        <v>708.1203253148775</v>
      </c>
      <c r="T22" s="18">
        <f>S22*Discounting!C26</f>
        <v>209.50725267458384</v>
      </c>
      <c r="V22" s="18"/>
      <c r="W22" s="18"/>
      <c r="X22" s="18"/>
      <c r="Y22" s="18"/>
    </row>
    <row r="23" spans="1:25" x14ac:dyDescent="0.25">
      <c r="A23">
        <f>'Auto VMT Savings'!A22</f>
        <v>2036</v>
      </c>
      <c r="B23" s="29">
        <f>'Auto VMT Savings'!B22</f>
        <v>21499.999999999971</v>
      </c>
      <c r="C23" s="68">
        <v>2.3114456202612601</v>
      </c>
      <c r="D23" s="68">
        <v>2.20014551502636E-2</v>
      </c>
      <c r="E23" s="68">
        <v>1.70032328124071E-2</v>
      </c>
      <c r="F23" s="68">
        <v>3.7080000000000182E-2</v>
      </c>
      <c r="G23" s="68"/>
      <c r="H23" s="25">
        <f t="shared" si="0"/>
        <v>4.9696080835617024E-2</v>
      </c>
      <c r="I23" s="25">
        <f t="shared" si="1"/>
        <v>4.7303128573066673E-4</v>
      </c>
      <c r="J23" s="25">
        <f t="shared" si="2"/>
        <v>3.6556950546675216E-4</v>
      </c>
      <c r="K23" s="25">
        <f t="shared" si="3"/>
        <v>7.9722000000000289E-4</v>
      </c>
      <c r="L23" s="25"/>
      <c r="M23" s="18">
        <f>H23*$M$3*Discounting!D27</f>
        <v>454.34393423558691</v>
      </c>
      <c r="N23" s="18">
        <f>J23*$N$3*Discounting!D27</f>
        <v>152.13054332062089</v>
      </c>
      <c r="O23" s="18">
        <f>I23*$O$3*Discounting!D27</f>
        <v>25.479049704260905</v>
      </c>
      <c r="P23" s="18">
        <f>K23*$P$3*Discounting!D27</f>
        <v>1.7562756600000065</v>
      </c>
      <c r="Q23" s="18">
        <f t="shared" si="5"/>
        <v>633.70980292046875</v>
      </c>
      <c r="R23" s="18"/>
      <c r="S23" s="18">
        <f t="shared" si="4"/>
        <v>633.70980292046875</v>
      </c>
      <c r="T23" s="18">
        <f>S23*Discounting!C27</f>
        <v>175.22604121816644</v>
      </c>
      <c r="V23" s="18"/>
      <c r="W23" s="18"/>
      <c r="X23" s="18"/>
      <c r="Y23" s="18"/>
    </row>
    <row r="24" spans="1:25" x14ac:dyDescent="0.25">
      <c r="A24">
        <f>'Auto VMT Savings'!A23</f>
        <v>2037</v>
      </c>
      <c r="B24" s="29">
        <f>'Auto VMT Savings'!B23</f>
        <v>21499.999999999971</v>
      </c>
      <c r="C24" s="68">
        <v>2.0276449036388899</v>
      </c>
      <c r="D24" s="68">
        <v>2.20014551502636E-2</v>
      </c>
      <c r="E24" s="68">
        <v>1.4266709349278799E-2</v>
      </c>
      <c r="F24" s="68">
        <v>3.7080000000000182E-2</v>
      </c>
      <c r="G24" s="68"/>
      <c r="H24" s="25">
        <f t="shared" si="0"/>
        <v>4.3594365428236068E-2</v>
      </c>
      <c r="I24" s="25">
        <f t="shared" si="1"/>
        <v>4.7303128573066673E-4</v>
      </c>
      <c r="J24" s="25">
        <f t="shared" si="2"/>
        <v>3.0673425100949376E-4</v>
      </c>
      <c r="K24" s="25">
        <f t="shared" si="3"/>
        <v>7.9722000000000289E-4</v>
      </c>
      <c r="L24" s="25"/>
      <c r="M24" s="18">
        <f>H24*$M$3*Discounting!D28</f>
        <v>398.55930620937687</v>
      </c>
      <c r="N24" s="18">
        <f>J24*$N$3*Discounting!D28</f>
        <v>127.6464463345725</v>
      </c>
      <c r="O24" s="18">
        <f>I24*$O$3*Discounting!D28</f>
        <v>25.479049704260905</v>
      </c>
      <c r="P24" s="18">
        <f>K24*$P$3*Discounting!D28</f>
        <v>1.7562756600000065</v>
      </c>
      <c r="Q24" s="18">
        <f t="shared" si="5"/>
        <v>553.44107790821033</v>
      </c>
      <c r="R24" s="18"/>
      <c r="S24" s="18">
        <f t="shared" si="4"/>
        <v>553.44107790821033</v>
      </c>
      <c r="T24" s="18">
        <f>S24*Discounting!C28</f>
        <v>143.01969146927235</v>
      </c>
      <c r="V24" s="18"/>
      <c r="W24" s="18"/>
      <c r="X24" s="18"/>
      <c r="Y24" s="18"/>
    </row>
    <row r="25" spans="1:25" x14ac:dyDescent="0.25">
      <c r="A25">
        <f>'Auto VMT Savings'!A24</f>
        <v>2038</v>
      </c>
      <c r="B25" s="29">
        <f>'Auto VMT Savings'!B24</f>
        <v>21499.999999999971</v>
      </c>
      <c r="C25" s="68">
        <v>1.8235747160847999</v>
      </c>
      <c r="D25" s="68">
        <v>2.20014551502636E-2</v>
      </c>
      <c r="E25" s="68">
        <v>1.2602501640121E-2</v>
      </c>
      <c r="F25" s="68">
        <v>3.7080000000000182E-2</v>
      </c>
      <c r="G25" s="68"/>
      <c r="H25" s="25">
        <f t="shared" si="0"/>
        <v>3.9206856395823143E-2</v>
      </c>
      <c r="I25" s="25">
        <f t="shared" si="1"/>
        <v>4.7303128573066673E-4</v>
      </c>
      <c r="J25" s="25">
        <f t="shared" si="2"/>
        <v>2.7095378526260108E-4</v>
      </c>
      <c r="K25" s="25">
        <f t="shared" si="3"/>
        <v>7.9722000000000289E-4</v>
      </c>
      <c r="L25" s="25"/>
      <c r="M25" s="18">
        <f>H25*$M$3*Discounting!D29</f>
        <v>358.44672425599333</v>
      </c>
      <c r="N25" s="18">
        <f>J25*$N$3*Discounting!D29</f>
        <v>112.75652358954008</v>
      </c>
      <c r="O25" s="18">
        <f>I25*$O$3*Discounting!D29</f>
        <v>25.479049704260905</v>
      </c>
      <c r="P25" s="18">
        <f>K25*$P$3*Discounting!D29</f>
        <v>1.7562756600000065</v>
      </c>
      <c r="Q25" s="18">
        <f t="shared" si="5"/>
        <v>498.4385732097943</v>
      </c>
      <c r="R25" s="18"/>
      <c r="S25" s="18">
        <f t="shared" si="4"/>
        <v>498.4385732097943</v>
      </c>
      <c r="T25" s="18">
        <f>S25*Discounting!C29</f>
        <v>120.37943836714255</v>
      </c>
      <c r="V25" s="18"/>
      <c r="W25" s="18"/>
      <c r="X25" s="18"/>
      <c r="Y25" s="18"/>
    </row>
    <row r="26" spans="1:25" x14ac:dyDescent="0.25">
      <c r="A26">
        <f>'Auto VMT Savings'!A25</f>
        <v>2039</v>
      </c>
      <c r="B26" s="29">
        <f>'Auto VMT Savings'!B25</f>
        <v>21499.999999999971</v>
      </c>
      <c r="C26" s="68">
        <v>1.6718266729220701</v>
      </c>
      <c r="D26" s="68">
        <v>2.20014551502636E-2</v>
      </c>
      <c r="E26" s="68">
        <v>1.12834487809621E-2</v>
      </c>
      <c r="F26" s="68">
        <v>3.7080000000000182E-2</v>
      </c>
      <c r="G26" s="68"/>
      <c r="H26" s="25">
        <f t="shared" si="0"/>
        <v>3.5944273467824459E-2</v>
      </c>
      <c r="I26" s="25">
        <f t="shared" si="1"/>
        <v>4.7303128573066673E-4</v>
      </c>
      <c r="J26" s="25">
        <f t="shared" si="2"/>
        <v>2.4259414879068483E-4</v>
      </c>
      <c r="K26" s="25">
        <f t="shared" si="3"/>
        <v>7.9722000000000289E-4</v>
      </c>
      <c r="L26" s="25"/>
      <c r="M26" s="18">
        <f>H26*$M$3*Discounting!D30</f>
        <v>328.61872296591173</v>
      </c>
      <c r="N26" s="18">
        <f>J26*$N$3*Discounting!D30</f>
        <v>100.95475445855249</v>
      </c>
      <c r="O26" s="18">
        <f>I26*$O$3*Discounting!D30</f>
        <v>25.479049704260905</v>
      </c>
      <c r="P26" s="18">
        <f>K26*$P$3*Discounting!D30</f>
        <v>1.7562756600000065</v>
      </c>
      <c r="Q26" s="18">
        <f t="shared" si="5"/>
        <v>456.80880278872513</v>
      </c>
      <c r="R26" s="18"/>
      <c r="S26" s="18">
        <f t="shared" si="4"/>
        <v>456.80880278872513</v>
      </c>
      <c r="T26" s="18">
        <f>S26*Discounting!C30</f>
        <v>103.10776075924495</v>
      </c>
      <c r="V26" s="18"/>
      <c r="W26" s="18"/>
      <c r="X26" s="18"/>
      <c r="Y26" s="18"/>
    </row>
    <row r="27" spans="1:25" x14ac:dyDescent="0.25">
      <c r="A27">
        <f>'Auto VMT Savings'!A26</f>
        <v>2040</v>
      </c>
      <c r="B27" s="29">
        <f>'Auto VMT Savings'!B26</f>
        <v>21499.999999999971</v>
      </c>
      <c r="C27" s="68">
        <v>1.5203367142431601</v>
      </c>
      <c r="D27" s="68">
        <v>2.20014551502636E-2</v>
      </c>
      <c r="E27" s="68">
        <v>1.01552469531243E-2</v>
      </c>
      <c r="F27" s="68">
        <v>3.7080000000000182E-2</v>
      </c>
      <c r="G27" s="68"/>
      <c r="H27" s="25">
        <f t="shared" si="0"/>
        <v>3.2687239356227894E-2</v>
      </c>
      <c r="I27" s="25">
        <f t="shared" si="1"/>
        <v>4.7303128573066673E-4</v>
      </c>
      <c r="J27" s="25">
        <f t="shared" si="2"/>
        <v>2.1833780949217214E-4</v>
      </c>
      <c r="K27" s="25">
        <f t="shared" si="3"/>
        <v>7.9722000000000289E-4</v>
      </c>
      <c r="L27" s="25"/>
      <c r="M27" s="18">
        <f>H27*$M$3*Discounting!D31</f>
        <v>298.84145145234572</v>
      </c>
      <c r="N27" s="18">
        <f>J27*$N$3*Discounting!D31</f>
        <v>90.860558905396118</v>
      </c>
      <c r="O27" s="18">
        <f>I27*$O$3*Discounting!D31</f>
        <v>25.479049704260905</v>
      </c>
      <c r="P27" s="18">
        <f>K27*$P$3*Discounting!D31</f>
        <v>1.7562756600000065</v>
      </c>
      <c r="Q27" s="18">
        <f t="shared" si="5"/>
        <v>416.93733572200279</v>
      </c>
      <c r="R27" s="18"/>
      <c r="S27" s="18">
        <f t="shared" si="4"/>
        <v>416.93733572200279</v>
      </c>
      <c r="T27" s="18">
        <f>S27*Discounting!C31</f>
        <v>87.951631520812853</v>
      </c>
      <c r="V27" s="18"/>
      <c r="W27" s="18"/>
      <c r="X27" s="18"/>
      <c r="Y27" s="18"/>
    </row>
    <row r="28" spans="1:25" x14ac:dyDescent="0.25">
      <c r="A28">
        <f>'Auto VMT Savings'!A27</f>
        <v>2041</v>
      </c>
      <c r="B28" s="29">
        <f>'Auto VMT Savings'!B27</f>
        <v>21499.999999999971</v>
      </c>
      <c r="C28" s="68">
        <v>1.38651458236391</v>
      </c>
      <c r="D28" s="68">
        <v>2.20014551502636E-2</v>
      </c>
      <c r="E28" s="68">
        <v>9.1226309640075904E-3</v>
      </c>
      <c r="F28" s="68">
        <v>3.7080000000000182E-2</v>
      </c>
      <c r="G28" s="68"/>
      <c r="H28" s="25">
        <f t="shared" si="0"/>
        <v>2.9810063520824024E-2</v>
      </c>
      <c r="I28" s="25">
        <f t="shared" si="1"/>
        <v>4.7303128573066673E-4</v>
      </c>
      <c r="J28" s="25">
        <f t="shared" si="2"/>
        <v>1.9613656572616293E-4</v>
      </c>
      <c r="K28" s="25">
        <f t="shared" si="3"/>
        <v>7.9722000000000289E-4</v>
      </c>
      <c r="L28" s="25"/>
      <c r="M28" s="18">
        <f>H28*$M$3*Discounting!D32</f>
        <v>272.5370152359576</v>
      </c>
      <c r="N28" s="18">
        <f>J28*$N$3*Discounting!D32</f>
        <v>81.621584576275808</v>
      </c>
      <c r="O28" s="18">
        <f>I28*$O$3*Discounting!D32</f>
        <v>25.479049704260905</v>
      </c>
      <c r="P28" s="18">
        <f>K28*$P$3*Discounting!D32</f>
        <v>1.7562756600000065</v>
      </c>
      <c r="Q28" s="18">
        <f t="shared" si="5"/>
        <v>381.39392517649435</v>
      </c>
      <c r="R28" s="18"/>
      <c r="S28" s="18">
        <f t="shared" si="4"/>
        <v>381.39392517649435</v>
      </c>
      <c r="T28" s="18">
        <f>S28*Discounting!C32</f>
        <v>75.190523217550009</v>
      </c>
      <c r="V28" s="18"/>
      <c r="W28" s="18"/>
      <c r="X28" s="18"/>
      <c r="Y28" s="18"/>
    </row>
    <row r="29" spans="1:25" x14ac:dyDescent="0.25">
      <c r="A29">
        <f>'Auto VMT Savings'!A28</f>
        <v>2042</v>
      </c>
      <c r="B29" s="29">
        <f>'Auto VMT Savings'!B28</f>
        <v>21499.999999999971</v>
      </c>
      <c r="C29" s="68">
        <v>1.1254599516175701</v>
      </c>
      <c r="D29" s="68">
        <v>2.20014551502636E-2</v>
      </c>
      <c r="E29" s="68">
        <v>6.81492331002674E-3</v>
      </c>
      <c r="F29" s="68">
        <v>3.7080000000000182E-2</v>
      </c>
      <c r="G29" s="68"/>
      <c r="H29" s="25">
        <f t="shared" si="0"/>
        <v>2.4197388959777723E-2</v>
      </c>
      <c r="I29" s="25">
        <f t="shared" si="1"/>
        <v>4.7303128573066673E-4</v>
      </c>
      <c r="J29" s="25">
        <f t="shared" si="2"/>
        <v>1.4652085116557471E-4</v>
      </c>
      <c r="K29" s="25">
        <f t="shared" si="3"/>
        <v>7.9722000000000289E-4</v>
      </c>
      <c r="L29" s="25"/>
      <c r="M29" s="18">
        <f>H29*$M$3*Discounting!D33</f>
        <v>221.22341869531985</v>
      </c>
      <c r="N29" s="18">
        <f>J29*$N$3*Discounting!D33</f>
        <v>60.974168693745071</v>
      </c>
      <c r="O29" s="18">
        <f>I29*$O$3*Discounting!D33</f>
        <v>25.479049704260905</v>
      </c>
      <c r="P29" s="18">
        <f>K29*$P$3*Discounting!D33</f>
        <v>1.7562756600000065</v>
      </c>
      <c r="Q29" s="18">
        <f t="shared" si="5"/>
        <v>309.43291275332581</v>
      </c>
      <c r="R29" s="18"/>
      <c r="S29" s="18">
        <f t="shared" si="4"/>
        <v>309.43291275332581</v>
      </c>
      <c r="T29" s="18">
        <f>S29*Discounting!C33</f>
        <v>57.012759673111198</v>
      </c>
      <c r="V29" s="18"/>
      <c r="W29" s="18"/>
      <c r="X29" s="18"/>
      <c r="Y29" s="18"/>
    </row>
    <row r="30" spans="1:25" x14ac:dyDescent="0.25">
      <c r="A30">
        <f>'Auto VMT Savings'!A29</f>
        <v>2043</v>
      </c>
      <c r="B30" s="29">
        <f>'Auto VMT Savings'!B29</f>
        <v>21499.999999999971</v>
      </c>
      <c r="C30" s="68">
        <v>0.90666020116322599</v>
      </c>
      <c r="D30" s="68">
        <v>2.20014551502636E-2</v>
      </c>
      <c r="E30" s="68">
        <v>4.6822636112529899E-3</v>
      </c>
      <c r="F30" s="68">
        <v>3.7080000000000182E-2</v>
      </c>
      <c r="G30" s="68"/>
      <c r="H30" s="25">
        <f t="shared" si="0"/>
        <v>1.949319432500933E-2</v>
      </c>
      <c r="I30" s="25">
        <f t="shared" si="1"/>
        <v>4.7303128573066673E-4</v>
      </c>
      <c r="J30" s="25">
        <f t="shared" si="2"/>
        <v>1.0066866764193915E-4</v>
      </c>
      <c r="K30" s="25">
        <f t="shared" si="3"/>
        <v>7.9722000000000289E-4</v>
      </c>
      <c r="L30" s="25"/>
      <c r="M30" s="18">
        <f>H30*$M$3*Discounting!D34</f>
        <v>178.21555445668156</v>
      </c>
      <c r="N30" s="18">
        <f>J30*$N$3*Discounting!D34</f>
        <v>41.892933832589762</v>
      </c>
      <c r="O30" s="18">
        <f>I30*$O$3*Discounting!D34</f>
        <v>25.479049704260905</v>
      </c>
      <c r="P30" s="18">
        <f>K30*$P$3*Discounting!D34</f>
        <v>1.7562756600000065</v>
      </c>
      <c r="Q30" s="18">
        <f t="shared" si="5"/>
        <v>247.34381365353224</v>
      </c>
      <c r="R30" s="18"/>
      <c r="S30" s="18">
        <f t="shared" si="4"/>
        <v>247.34381365353224</v>
      </c>
      <c r="T30" s="18">
        <f>S30*Discounting!C34</f>
        <v>42.591489935399451</v>
      </c>
      <c r="V30" s="18"/>
      <c r="W30" s="18"/>
      <c r="X30" s="18"/>
      <c r="Y30" s="18"/>
    </row>
    <row r="31" spans="1:25" x14ac:dyDescent="0.25">
      <c r="A31">
        <f>'Auto VMT Savings'!A30</f>
        <v>2044</v>
      </c>
      <c r="B31" s="29">
        <f>'Auto VMT Savings'!B30</f>
        <v>21499.999999999971</v>
      </c>
      <c r="C31" s="68">
        <v>0.80376716101697998</v>
      </c>
      <c r="D31" s="68">
        <v>2.20014551502636E-2</v>
      </c>
      <c r="E31" s="68">
        <v>4.2830014326380797E-3</v>
      </c>
      <c r="F31" s="68">
        <v>3.7080000000000182E-2</v>
      </c>
      <c r="G31" s="68"/>
      <c r="H31" s="25">
        <f t="shared" si="0"/>
        <v>1.7280993961865044E-2</v>
      </c>
      <c r="I31" s="25">
        <f t="shared" si="1"/>
        <v>4.7303128573066673E-4</v>
      </c>
      <c r="J31" s="25">
        <f t="shared" si="2"/>
        <v>9.2084530801718586E-5</v>
      </c>
      <c r="K31" s="25">
        <f t="shared" si="3"/>
        <v>7.9722000000000289E-4</v>
      </c>
      <c r="L31" s="25"/>
      <c r="M31" s="18">
        <f>H31*$M$3*Discounting!D35</f>
        <v>157.99062324665309</v>
      </c>
      <c r="N31" s="18">
        <f>J31*$N$3*Discounting!D35</f>
        <v>38.320673614183548</v>
      </c>
      <c r="O31" s="18">
        <f>I31*$O$3*Discounting!D35</f>
        <v>25.479049704260905</v>
      </c>
      <c r="P31" s="18">
        <f>K31*$P$3*Discounting!D35</f>
        <v>1.7562756600000065</v>
      </c>
      <c r="Q31" s="18">
        <f t="shared" si="5"/>
        <v>223.54662222509756</v>
      </c>
      <c r="R31" s="18"/>
      <c r="S31" s="18">
        <f t="shared" si="4"/>
        <v>223.54662222509756</v>
      </c>
      <c r="T31" s="18">
        <f>S31*Discounting!C35</f>
        <v>35.975440023450979</v>
      </c>
      <c r="V31" s="18"/>
      <c r="W31" s="18"/>
      <c r="X31" s="18"/>
      <c r="Y31" s="18"/>
    </row>
    <row r="32" spans="1:25" x14ac:dyDescent="0.25">
      <c r="A32">
        <f>'Auto VMT Savings'!A31</f>
        <v>2045</v>
      </c>
      <c r="B32" s="29">
        <f>'Auto VMT Savings'!B31</f>
        <v>21499.999999999971</v>
      </c>
      <c r="C32" s="68">
        <v>0.65787820624312399</v>
      </c>
      <c r="D32" s="68">
        <v>2.20014551502636E-2</v>
      </c>
      <c r="E32" s="68">
        <v>3.6144039567919E-3</v>
      </c>
      <c r="F32" s="68">
        <v>3.7080000000000182E-2</v>
      </c>
      <c r="G32" s="68"/>
      <c r="H32" s="25">
        <f t="shared" si="0"/>
        <v>1.4144381434227147E-2</v>
      </c>
      <c r="I32" s="25">
        <f t="shared" si="1"/>
        <v>4.7303128573066673E-4</v>
      </c>
      <c r="J32" s="25">
        <f t="shared" si="2"/>
        <v>7.7709685071025743E-5</v>
      </c>
      <c r="K32" s="25">
        <f t="shared" si="3"/>
        <v>7.9722000000000289E-4</v>
      </c>
      <c r="L32" s="25"/>
      <c r="M32" s="18">
        <f>H32*$M$3*Discounting!D36</f>
        <v>129.31430004334999</v>
      </c>
      <c r="N32" s="18">
        <f>J32*$N$3*Discounting!D36</f>
        <v>32.338629000346629</v>
      </c>
      <c r="O32" s="18">
        <f>I32*$O$3*Discounting!D36</f>
        <v>25.479049704260905</v>
      </c>
      <c r="P32" s="18">
        <f>K32*$P$3*Discounting!D36</f>
        <v>1.7562756600000065</v>
      </c>
      <c r="Q32" s="18">
        <f t="shared" si="5"/>
        <v>188.88825440795753</v>
      </c>
      <c r="R32" s="18"/>
      <c r="S32" s="18">
        <f t="shared" si="4"/>
        <v>188.88825440795753</v>
      </c>
      <c r="T32" s="18">
        <f>S32*Discounting!C36</f>
        <v>28.409211365052265</v>
      </c>
      <c r="V32" s="18"/>
      <c r="W32" s="18"/>
      <c r="X32" s="18"/>
      <c r="Y32" s="18"/>
    </row>
    <row r="33" spans="1:25" x14ac:dyDescent="0.25">
      <c r="A33">
        <f>'Auto VMT Savings'!A32</f>
        <v>2046</v>
      </c>
      <c r="B33" s="29">
        <f>'Auto VMT Savings'!B32</f>
        <v>21499.999999999971</v>
      </c>
      <c r="C33" s="68">
        <v>0.47550312417653801</v>
      </c>
      <c r="D33" s="68">
        <v>2.20014551502636E-2</v>
      </c>
      <c r="E33" s="68">
        <v>3.05480803109751E-3</v>
      </c>
      <c r="F33" s="68">
        <v>3.7080000000000182E-2</v>
      </c>
      <c r="G33" s="68"/>
      <c r="H33" s="25">
        <f t="shared" si="0"/>
        <v>1.0223317169795553E-2</v>
      </c>
      <c r="I33" s="25">
        <f t="shared" si="1"/>
        <v>4.7303128573066673E-4</v>
      </c>
      <c r="J33" s="25">
        <f t="shared" si="2"/>
        <v>6.5678372668596385E-5</v>
      </c>
      <c r="K33" s="25">
        <f t="shared" si="3"/>
        <v>7.9722000000000289E-4</v>
      </c>
      <c r="L33" s="25"/>
      <c r="M33" s="18">
        <f>H33*$M$3*Discounting!D37</f>
        <v>93.466166058997359</v>
      </c>
      <c r="N33" s="18">
        <f>J33*$N$3*Discounting!D37</f>
        <v>27.331838047406581</v>
      </c>
      <c r="O33" s="18">
        <f>I33*$O$3*Discounting!D37</f>
        <v>25.479049704260905</v>
      </c>
      <c r="P33" s="18">
        <f>K33*$P$3*Discounting!D37</f>
        <v>1.7562756600000065</v>
      </c>
      <c r="Q33" s="18">
        <f t="shared" si="5"/>
        <v>148.03332947066485</v>
      </c>
      <c r="R33" s="18"/>
      <c r="S33" s="18">
        <f t="shared" si="4"/>
        <v>148.03332947066485</v>
      </c>
      <c r="T33" s="18">
        <f>S33*Discounting!C37</f>
        <v>20.807981556831798</v>
      </c>
      <c r="V33" s="18"/>
      <c r="W33" s="18"/>
      <c r="X33" s="18"/>
      <c r="Y33" s="18"/>
    </row>
    <row r="34" spans="1:25" x14ac:dyDescent="0.25">
      <c r="A34">
        <f>'Auto VMT Savings'!A33</f>
        <v>2047</v>
      </c>
      <c r="B34" s="29">
        <f>'Auto VMT Savings'!B33</f>
        <v>21499.999999999971</v>
      </c>
      <c r="C34" s="68">
        <v>0.39020953924350399</v>
      </c>
      <c r="D34" s="68">
        <v>2.20014551502636E-2</v>
      </c>
      <c r="E34" s="68">
        <v>2.7263520758788102E-3</v>
      </c>
      <c r="F34" s="68">
        <v>3.7080000000000182E-2</v>
      </c>
      <c r="G34" s="68"/>
      <c r="H34" s="25">
        <f t="shared" si="0"/>
        <v>8.3895050937353235E-3</v>
      </c>
      <c r="I34" s="25">
        <f t="shared" si="1"/>
        <v>4.7303128573066673E-4</v>
      </c>
      <c r="J34" s="25">
        <f t="shared" si="2"/>
        <v>5.8616569631394336E-5</v>
      </c>
      <c r="K34" s="25">
        <f t="shared" si="3"/>
        <v>7.9722000000000289E-4</v>
      </c>
      <c r="L34" s="25"/>
      <c r="M34" s="18">
        <f>H34*$M$3*Discounting!D38</f>
        <v>76.700630844220512</v>
      </c>
      <c r="N34" s="18">
        <f>J34*$N$3*Discounting!D38</f>
        <v>24.393092017424969</v>
      </c>
      <c r="O34" s="18">
        <f>I34*$O$3*Discounting!D38</f>
        <v>25.479049704260905</v>
      </c>
      <c r="P34" s="18">
        <f>K34*$P$3*Discounting!D38</f>
        <v>1.7562756600000065</v>
      </c>
      <c r="Q34" s="18">
        <f t="shared" si="5"/>
        <v>128.3290482259064</v>
      </c>
      <c r="R34" s="18"/>
      <c r="S34" s="18">
        <f t="shared" si="4"/>
        <v>128.3290482259064</v>
      </c>
      <c r="T34" s="18">
        <f>S34*Discounting!C38</f>
        <v>16.858217112629653</v>
      </c>
      <c r="V34" s="18"/>
      <c r="W34" s="18"/>
      <c r="X34" s="18"/>
      <c r="Y34" s="18"/>
    </row>
    <row r="35" spans="1:25" x14ac:dyDescent="0.25">
      <c r="A35">
        <f>'Auto VMT Savings'!A34</f>
        <v>2048</v>
      </c>
      <c r="B35" s="29">
        <f>'Auto VMT Savings'!B34</f>
        <v>21499.999999999971</v>
      </c>
      <c r="C35" s="68">
        <v>0.34838062429669098</v>
      </c>
      <c r="D35" s="68">
        <v>2.20014551502636E-2</v>
      </c>
      <c r="E35" s="68">
        <v>2.26104404545732E-3</v>
      </c>
      <c r="F35" s="68">
        <v>3.7080000000000182E-2</v>
      </c>
      <c r="G35" s="68"/>
      <c r="H35" s="25">
        <f t="shared" si="0"/>
        <v>7.4901834223788455E-3</v>
      </c>
      <c r="I35" s="25">
        <f t="shared" si="1"/>
        <v>4.7303128573066673E-4</v>
      </c>
      <c r="J35" s="25">
        <f t="shared" si="2"/>
        <v>4.8612446977332312E-5</v>
      </c>
      <c r="K35" s="25">
        <f t="shared" si="3"/>
        <v>7.9722000000000289E-4</v>
      </c>
      <c r="L35" s="25"/>
      <c r="M35" s="18">
        <f>H35*$M$3*Discounting!D39</f>
        <v>0</v>
      </c>
      <c r="N35" s="18">
        <f>J35*$N$3*Discounting!D39</f>
        <v>0</v>
      </c>
      <c r="O35" s="18">
        <f>I35*$O$3*Discounting!D39</f>
        <v>0</v>
      </c>
      <c r="P35" s="18">
        <f>K35*$P$3*Discounting!D39</f>
        <v>0</v>
      </c>
      <c r="Q35" s="18">
        <f t="shared" si="5"/>
        <v>0</v>
      </c>
      <c r="R35" s="18"/>
      <c r="S35" s="18">
        <f t="shared" si="4"/>
        <v>0</v>
      </c>
      <c r="T35" s="18">
        <f>S35*Discounting!C39</f>
        <v>0</v>
      </c>
      <c r="V35" s="18"/>
      <c r="W35" s="18"/>
      <c r="X35" s="18"/>
      <c r="Y35" s="18"/>
    </row>
    <row r="36" spans="1:25" x14ac:dyDescent="0.25">
      <c r="A36">
        <f>'Auto VMT Savings'!A35</f>
        <v>2049</v>
      </c>
      <c r="B36" s="29">
        <f>'Auto VMT Savings'!B35</f>
        <v>21499.999999999971</v>
      </c>
      <c r="C36" s="68">
        <v>0.330986488657528</v>
      </c>
      <c r="D36" s="68">
        <v>2.20014551502636E-2</v>
      </c>
      <c r="E36" s="68">
        <v>2.04161051899924E-3</v>
      </c>
      <c r="F36" s="68">
        <v>3.7080000000000182E-2</v>
      </c>
      <c r="G36" s="68"/>
      <c r="H36" s="25">
        <f t="shared" si="0"/>
        <v>7.1162095061368426E-3</v>
      </c>
      <c r="I36" s="25">
        <f t="shared" si="1"/>
        <v>4.7303128573066673E-4</v>
      </c>
      <c r="J36" s="25">
        <f t="shared" si="2"/>
        <v>4.3894626158483594E-5</v>
      </c>
      <c r="K36" s="25">
        <f t="shared" si="3"/>
        <v>7.9722000000000289E-4</v>
      </c>
      <c r="L36" s="25"/>
      <c r="M36" s="18">
        <f>H36*$M$3*Discounting!D40</f>
        <v>0</v>
      </c>
      <c r="N36" s="18">
        <f>J36*$N$3*Discounting!D40</f>
        <v>0</v>
      </c>
      <c r="O36" s="18">
        <f>I36*$O$3*Discounting!D40</f>
        <v>0</v>
      </c>
      <c r="P36" s="18">
        <f>K36*$P$3*Discounting!D40</f>
        <v>0</v>
      </c>
      <c r="Q36" s="18">
        <f t="shared" si="5"/>
        <v>0</v>
      </c>
      <c r="R36" s="18"/>
      <c r="S36" s="18">
        <f t="shared" si="4"/>
        <v>0</v>
      </c>
      <c r="T36" s="18">
        <f>S36*Discounting!C40</f>
        <v>0</v>
      </c>
      <c r="V36" s="18"/>
      <c r="W36" s="18"/>
      <c r="X36" s="18"/>
      <c r="Y36" s="18"/>
    </row>
    <row r="37" spans="1:25" x14ac:dyDescent="0.25">
      <c r="A37">
        <f>'Auto VMT Savings'!A36</f>
        <v>2050</v>
      </c>
      <c r="B37" s="29">
        <f>'Auto VMT Savings'!B36</f>
        <v>21499.999999999971</v>
      </c>
      <c r="C37" s="68">
        <v>0.31020825677701003</v>
      </c>
      <c r="D37" s="68">
        <v>2.20014551502636E-2</v>
      </c>
      <c r="E37" s="68">
        <v>1.9185960368251799E-3</v>
      </c>
      <c r="F37" s="68">
        <v>3.7080000000000182E-2</v>
      </c>
      <c r="G37" s="68"/>
      <c r="H37" s="25">
        <f t="shared" si="0"/>
        <v>6.669477520705706E-3</v>
      </c>
      <c r="I37" s="25">
        <f t="shared" si="1"/>
        <v>4.7303128573066673E-4</v>
      </c>
      <c r="J37" s="25">
        <f t="shared" si="2"/>
        <v>4.1249814791741311E-5</v>
      </c>
      <c r="K37" s="25">
        <f t="shared" si="3"/>
        <v>7.9722000000000289E-4</v>
      </c>
      <c r="L37" s="25"/>
      <c r="M37" s="18">
        <f>H37*$M$3*Discounting!D41</f>
        <v>0</v>
      </c>
      <c r="N37" s="18">
        <f>J37*$N$3*Discounting!D41</f>
        <v>0</v>
      </c>
      <c r="O37" s="18">
        <f>I37*$O$3*Discounting!D41</f>
        <v>0</v>
      </c>
      <c r="P37" s="18">
        <f>K37*$P$3*Discounting!D41</f>
        <v>0</v>
      </c>
      <c r="Q37" s="18">
        <f t="shared" si="5"/>
        <v>0</v>
      </c>
      <c r="R37" s="18"/>
      <c r="S37" s="18">
        <f t="shared" si="4"/>
        <v>0</v>
      </c>
      <c r="T37" s="18">
        <f>S37*Discounting!C41</f>
        <v>0</v>
      </c>
      <c r="V37" s="18"/>
      <c r="W37" s="18"/>
      <c r="X37" s="18"/>
      <c r="Y37" s="18"/>
    </row>
    <row r="38" spans="1:25" x14ac:dyDescent="0.25">
      <c r="A38">
        <f>'Auto VMT Savings'!A37</f>
        <v>2051</v>
      </c>
      <c r="B38" s="29">
        <f>'Auto VMT Savings'!B37</f>
        <v>21499.999999999971</v>
      </c>
      <c r="C38" s="68">
        <v>0.31020825677701003</v>
      </c>
      <c r="D38" s="68">
        <v>2.20014551502636E-2</v>
      </c>
      <c r="E38" s="68">
        <v>1.9185960368251799E-3</v>
      </c>
      <c r="F38" s="68">
        <v>3.7080000000000182E-2</v>
      </c>
      <c r="G38" s="68"/>
      <c r="H38" s="25">
        <f t="shared" si="0"/>
        <v>6.669477520705706E-3</v>
      </c>
      <c r="I38" s="25">
        <f t="shared" si="1"/>
        <v>4.7303128573066673E-4</v>
      </c>
      <c r="J38" s="25">
        <f t="shared" si="2"/>
        <v>4.1249814791741311E-5</v>
      </c>
      <c r="K38" s="25">
        <f t="shared" si="3"/>
        <v>7.9722000000000289E-4</v>
      </c>
      <c r="L38" s="25"/>
      <c r="M38" s="18">
        <f>H38*$M$3*Discounting!D42</f>
        <v>0</v>
      </c>
      <c r="N38" s="18">
        <f>J38*$N$3*Discounting!D42</f>
        <v>0</v>
      </c>
      <c r="O38" s="18">
        <f>I38*$O$3*Discounting!D42</f>
        <v>0</v>
      </c>
      <c r="P38" s="18">
        <f>K38*$P$3*Discounting!D42</f>
        <v>0</v>
      </c>
      <c r="Q38" s="18">
        <f t="shared" si="5"/>
        <v>0</v>
      </c>
      <c r="R38" s="18"/>
      <c r="S38" s="18">
        <f t="shared" si="4"/>
        <v>0</v>
      </c>
      <c r="T38" s="18">
        <f>S38*Discounting!C42</f>
        <v>0</v>
      </c>
      <c r="V38" s="18"/>
      <c r="W38" s="18"/>
      <c r="X38" s="18"/>
      <c r="Y38" s="18"/>
    </row>
    <row r="39" spans="1:25" x14ac:dyDescent="0.25">
      <c r="H39" s="25">
        <f t="shared" ref="H39:K39" si="6">SUM(H9:H38)</f>
        <v>5.1936580096286704</v>
      </c>
      <c r="I39" s="25">
        <f t="shared" si="6"/>
        <v>2.5216175469311861E-2</v>
      </c>
      <c r="J39" s="25">
        <f t="shared" si="6"/>
        <v>5.0721955887317954E-2</v>
      </c>
      <c r="K39" s="25">
        <f t="shared" si="6"/>
        <v>0.23910575756012895</v>
      </c>
      <c r="M39" s="18">
        <f>SUM(M9:M38)</f>
        <v>47917.753306212995</v>
      </c>
      <c r="N39" s="18">
        <f t="shared" ref="N39:P39" si="7">SUM(N9:N38)</f>
        <v>21356.994139240502</v>
      </c>
      <c r="O39" s="18">
        <f t="shared" si="7"/>
        <v>1266.4461038380107</v>
      </c>
      <c r="P39" s="18">
        <f t="shared" si="7"/>
        <v>527.72547230496377</v>
      </c>
      <c r="Q39" s="18"/>
      <c r="R39" s="18"/>
      <c r="S39" s="18">
        <f>SUM(S9:S38)</f>
        <v>71068.919021596448</v>
      </c>
      <c r="T39" s="18">
        <f>SUM(T4:T38)</f>
        <v>36149.141384623494</v>
      </c>
      <c r="V39" s="18"/>
      <c r="W39" s="18"/>
      <c r="X39" s="18"/>
      <c r="Y39" s="18"/>
    </row>
    <row r="41" spans="1:25" x14ac:dyDescent="0.25">
      <c r="T41" s="18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6" workbookViewId="0">
      <selection activeCell="B14" sqref="B14"/>
    </sheetView>
  </sheetViews>
  <sheetFormatPr defaultRowHeight="15" x14ac:dyDescent="0.25"/>
  <cols>
    <col min="4" max="4" width="9.42578125" bestFit="1" customWidth="1"/>
  </cols>
  <sheetData>
    <row r="1" spans="1:4" x14ac:dyDescent="0.25">
      <c r="A1" t="s">
        <v>34</v>
      </c>
      <c r="C1" s="30">
        <v>7.0000000000000007E-2</v>
      </c>
    </row>
    <row r="2" spans="1:4" x14ac:dyDescent="0.25">
      <c r="A2" t="s">
        <v>183</v>
      </c>
      <c r="C2" s="30"/>
      <c r="D2" s="71">
        <v>2024</v>
      </c>
    </row>
    <row r="3" spans="1:4" x14ac:dyDescent="0.25">
      <c r="A3" t="s">
        <v>182</v>
      </c>
      <c r="C3" s="30"/>
      <c r="D3">
        <v>2047</v>
      </c>
    </row>
    <row r="4" spans="1:4" x14ac:dyDescent="0.25">
      <c r="C4" s="30"/>
    </row>
    <row r="5" spans="1:4" x14ac:dyDescent="0.25">
      <c r="A5" t="s">
        <v>36</v>
      </c>
      <c r="C5">
        <v>2017</v>
      </c>
    </row>
    <row r="6" spans="1:4" ht="15.75" thickBot="1" x14ac:dyDescent="0.3">
      <c r="D6" t="s">
        <v>160</v>
      </c>
    </row>
    <row r="7" spans="1:4" x14ac:dyDescent="0.25">
      <c r="A7" s="1" t="s">
        <v>5</v>
      </c>
      <c r="B7" s="3" t="s">
        <v>1</v>
      </c>
      <c r="C7" t="s">
        <v>35</v>
      </c>
      <c r="D7" t="s">
        <v>159</v>
      </c>
    </row>
    <row r="8" spans="1:4" x14ac:dyDescent="0.25">
      <c r="A8" s="1">
        <f>IF(B8=$D$2,1,IF(AND(B8&gt;$D$2,B8&lt;$D$3+1),A7+1,0))</f>
        <v>0</v>
      </c>
      <c r="B8" s="7">
        <v>2017</v>
      </c>
      <c r="C8" s="25">
        <f t="shared" ref="C8:C43" si="0">1/(1+$C$1)^(B8-$C$5)</f>
        <v>1</v>
      </c>
      <c r="D8">
        <f>IF(AND(B8&gt;=$D$2,B8&lt;=$D$3),1,0)</f>
        <v>0</v>
      </c>
    </row>
    <row r="9" spans="1:4" x14ac:dyDescent="0.25">
      <c r="A9" s="1">
        <f t="shared" ref="A9:A43" si="1">IF(B9=$D$2,1,IF(AND(B9&gt;$D$2,B9&lt;$D$3+1),A8+1,0))</f>
        <v>0</v>
      </c>
      <c r="B9" s="7">
        <v>2018</v>
      </c>
      <c r="C9" s="25">
        <f t="shared" si="0"/>
        <v>0.93457943925233644</v>
      </c>
      <c r="D9">
        <f t="shared" ref="D9:D43" si="2">IF(AND(B9&gt;=$D$2,B9&lt;=$D$3),1,0)</f>
        <v>0</v>
      </c>
    </row>
    <row r="10" spans="1:4" x14ac:dyDescent="0.25">
      <c r="A10" s="1">
        <f t="shared" si="1"/>
        <v>0</v>
      </c>
      <c r="B10" s="11">
        <v>2019</v>
      </c>
      <c r="C10" s="25">
        <f t="shared" si="0"/>
        <v>0.87343872827321156</v>
      </c>
      <c r="D10">
        <f t="shared" si="2"/>
        <v>0</v>
      </c>
    </row>
    <row r="11" spans="1:4" x14ac:dyDescent="0.25">
      <c r="A11" s="1">
        <f t="shared" si="1"/>
        <v>0</v>
      </c>
      <c r="B11" s="11">
        <v>2020</v>
      </c>
      <c r="C11" s="25">
        <f t="shared" si="0"/>
        <v>0.81629787689085187</v>
      </c>
      <c r="D11">
        <f t="shared" si="2"/>
        <v>0</v>
      </c>
    </row>
    <row r="12" spans="1:4" x14ac:dyDescent="0.25">
      <c r="A12" s="1">
        <f t="shared" si="1"/>
        <v>0</v>
      </c>
      <c r="B12" s="11">
        <v>2021</v>
      </c>
      <c r="C12" s="25">
        <f t="shared" si="0"/>
        <v>0.7628952120475252</v>
      </c>
      <c r="D12">
        <f t="shared" si="2"/>
        <v>0</v>
      </c>
    </row>
    <row r="13" spans="1:4" x14ac:dyDescent="0.25">
      <c r="A13" s="1">
        <f t="shared" si="1"/>
        <v>0</v>
      </c>
      <c r="B13" s="11">
        <v>2022</v>
      </c>
      <c r="C13" s="25">
        <f t="shared" si="0"/>
        <v>0.71298617948366838</v>
      </c>
      <c r="D13">
        <f t="shared" si="2"/>
        <v>0</v>
      </c>
    </row>
    <row r="14" spans="1:4" x14ac:dyDescent="0.25">
      <c r="A14" s="1">
        <f t="shared" si="1"/>
        <v>0</v>
      </c>
      <c r="B14" s="11">
        <v>2023</v>
      </c>
      <c r="C14" s="25">
        <f t="shared" si="0"/>
        <v>0.66634222381651254</v>
      </c>
      <c r="D14">
        <f t="shared" si="2"/>
        <v>0</v>
      </c>
    </row>
    <row r="15" spans="1:4" x14ac:dyDescent="0.25">
      <c r="A15" s="1">
        <f t="shared" si="1"/>
        <v>1</v>
      </c>
      <c r="B15" s="11">
        <v>2024</v>
      </c>
      <c r="C15" s="25">
        <f t="shared" si="0"/>
        <v>0.62274974188459109</v>
      </c>
      <c r="D15">
        <f t="shared" si="2"/>
        <v>1</v>
      </c>
    </row>
    <row r="16" spans="1:4" x14ac:dyDescent="0.25">
      <c r="A16" s="1">
        <f t="shared" si="1"/>
        <v>2</v>
      </c>
      <c r="B16" s="11">
        <v>2025</v>
      </c>
      <c r="C16" s="25">
        <f t="shared" si="0"/>
        <v>0.5820091045650384</v>
      </c>
      <c r="D16">
        <f t="shared" si="2"/>
        <v>1</v>
      </c>
    </row>
    <row r="17" spans="1:4" x14ac:dyDescent="0.25">
      <c r="A17" s="1">
        <f t="shared" si="1"/>
        <v>3</v>
      </c>
      <c r="B17" s="11">
        <v>2026</v>
      </c>
      <c r="C17" s="25">
        <f t="shared" si="0"/>
        <v>0.54393374258414806</v>
      </c>
      <c r="D17">
        <f t="shared" si="2"/>
        <v>1</v>
      </c>
    </row>
    <row r="18" spans="1:4" x14ac:dyDescent="0.25">
      <c r="A18" s="1">
        <f t="shared" si="1"/>
        <v>4</v>
      </c>
      <c r="B18" s="11">
        <v>2027</v>
      </c>
      <c r="C18" s="25">
        <f t="shared" si="0"/>
        <v>0.5083492921347178</v>
      </c>
      <c r="D18">
        <f t="shared" si="2"/>
        <v>1</v>
      </c>
    </row>
    <row r="19" spans="1:4" x14ac:dyDescent="0.25">
      <c r="A19" s="1">
        <f t="shared" si="1"/>
        <v>5</v>
      </c>
      <c r="B19" s="11">
        <v>2028</v>
      </c>
      <c r="C19" s="25">
        <f t="shared" si="0"/>
        <v>0.47509279638758667</v>
      </c>
      <c r="D19">
        <f t="shared" si="2"/>
        <v>1</v>
      </c>
    </row>
    <row r="20" spans="1:4" x14ac:dyDescent="0.25">
      <c r="A20" s="1">
        <f t="shared" si="1"/>
        <v>6</v>
      </c>
      <c r="B20" s="11">
        <v>2029</v>
      </c>
      <c r="C20" s="25">
        <f t="shared" si="0"/>
        <v>0.44401195924073528</v>
      </c>
      <c r="D20">
        <f t="shared" si="2"/>
        <v>1</v>
      </c>
    </row>
    <row r="21" spans="1:4" x14ac:dyDescent="0.25">
      <c r="A21" s="1">
        <f t="shared" si="1"/>
        <v>7</v>
      </c>
      <c r="B21" s="11">
        <v>2030</v>
      </c>
      <c r="C21" s="25">
        <f t="shared" si="0"/>
        <v>0.41496444788853759</v>
      </c>
      <c r="D21">
        <f t="shared" si="2"/>
        <v>1</v>
      </c>
    </row>
    <row r="22" spans="1:4" x14ac:dyDescent="0.25">
      <c r="A22" s="1">
        <f t="shared" si="1"/>
        <v>8</v>
      </c>
      <c r="B22" s="11">
        <v>2031</v>
      </c>
      <c r="C22" s="25">
        <f t="shared" si="0"/>
        <v>0.3878172410173249</v>
      </c>
      <c r="D22">
        <f t="shared" si="2"/>
        <v>1</v>
      </c>
    </row>
    <row r="23" spans="1:4" x14ac:dyDescent="0.25">
      <c r="A23" s="1">
        <f t="shared" si="1"/>
        <v>9</v>
      </c>
      <c r="B23" s="11">
        <v>2032</v>
      </c>
      <c r="C23" s="25">
        <f t="shared" si="0"/>
        <v>0.36244601964235967</v>
      </c>
      <c r="D23">
        <f t="shared" si="2"/>
        <v>1</v>
      </c>
    </row>
    <row r="24" spans="1:4" x14ac:dyDescent="0.25">
      <c r="A24" s="1">
        <f t="shared" si="1"/>
        <v>10</v>
      </c>
      <c r="B24" s="11">
        <v>2033</v>
      </c>
      <c r="C24" s="25">
        <f t="shared" si="0"/>
        <v>0.33873459779659787</v>
      </c>
      <c r="D24">
        <f t="shared" si="2"/>
        <v>1</v>
      </c>
    </row>
    <row r="25" spans="1:4" x14ac:dyDescent="0.25">
      <c r="A25" s="1">
        <f t="shared" si="1"/>
        <v>11</v>
      </c>
      <c r="B25" s="11">
        <v>2034</v>
      </c>
      <c r="C25" s="25">
        <f t="shared" si="0"/>
        <v>0.31657439046411018</v>
      </c>
      <c r="D25">
        <f t="shared" si="2"/>
        <v>1</v>
      </c>
    </row>
    <row r="26" spans="1:4" x14ac:dyDescent="0.25">
      <c r="A26" s="1">
        <f t="shared" si="1"/>
        <v>12</v>
      </c>
      <c r="B26" s="11">
        <v>2035</v>
      </c>
      <c r="C26" s="25">
        <f t="shared" si="0"/>
        <v>0.29586391632159825</v>
      </c>
      <c r="D26">
        <f t="shared" si="2"/>
        <v>1</v>
      </c>
    </row>
    <row r="27" spans="1:4" x14ac:dyDescent="0.25">
      <c r="A27" s="1">
        <f t="shared" si="1"/>
        <v>13</v>
      </c>
      <c r="B27" s="11">
        <v>2036</v>
      </c>
      <c r="C27" s="25">
        <f t="shared" si="0"/>
        <v>0.27650833301083949</v>
      </c>
      <c r="D27">
        <f t="shared" si="2"/>
        <v>1</v>
      </c>
    </row>
    <row r="28" spans="1:4" x14ac:dyDescent="0.25">
      <c r="A28" s="1">
        <f t="shared" si="1"/>
        <v>14</v>
      </c>
      <c r="B28" s="11">
        <v>2037</v>
      </c>
      <c r="C28" s="25">
        <f t="shared" si="0"/>
        <v>0.2584190028138687</v>
      </c>
      <c r="D28">
        <f t="shared" si="2"/>
        <v>1</v>
      </c>
    </row>
    <row r="29" spans="1:4" x14ac:dyDescent="0.25">
      <c r="A29" s="1">
        <f t="shared" si="1"/>
        <v>15</v>
      </c>
      <c r="B29" s="11">
        <v>2038</v>
      </c>
      <c r="C29" s="25">
        <f t="shared" si="0"/>
        <v>0.24151308674193336</v>
      </c>
      <c r="D29">
        <f t="shared" si="2"/>
        <v>1</v>
      </c>
    </row>
    <row r="30" spans="1:4" x14ac:dyDescent="0.25">
      <c r="A30" s="1">
        <f t="shared" si="1"/>
        <v>16</v>
      </c>
      <c r="B30" s="11">
        <v>2039</v>
      </c>
      <c r="C30" s="25">
        <f t="shared" si="0"/>
        <v>0.22571316517937698</v>
      </c>
      <c r="D30">
        <f t="shared" si="2"/>
        <v>1</v>
      </c>
    </row>
    <row r="31" spans="1:4" x14ac:dyDescent="0.25">
      <c r="A31" s="1">
        <f t="shared" si="1"/>
        <v>17</v>
      </c>
      <c r="B31" s="11">
        <v>2040</v>
      </c>
      <c r="C31" s="25">
        <f t="shared" si="0"/>
        <v>0.21094688334521211</v>
      </c>
      <c r="D31">
        <f t="shared" si="2"/>
        <v>1</v>
      </c>
    </row>
    <row r="32" spans="1:4" x14ac:dyDescent="0.25">
      <c r="A32" s="1">
        <f t="shared" si="1"/>
        <v>18</v>
      </c>
      <c r="B32" s="11">
        <v>2041</v>
      </c>
      <c r="C32" s="25">
        <f t="shared" si="0"/>
        <v>0.19714661994879637</v>
      </c>
      <c r="D32">
        <f t="shared" si="2"/>
        <v>1</v>
      </c>
    </row>
    <row r="33" spans="1:4" x14ac:dyDescent="0.25">
      <c r="A33" s="1">
        <f t="shared" si="1"/>
        <v>19</v>
      </c>
      <c r="B33" s="11">
        <v>2042</v>
      </c>
      <c r="C33" s="25">
        <f t="shared" si="0"/>
        <v>0.18424917752223957</v>
      </c>
      <c r="D33">
        <f t="shared" si="2"/>
        <v>1</v>
      </c>
    </row>
    <row r="34" spans="1:4" x14ac:dyDescent="0.25">
      <c r="A34" s="1">
        <f t="shared" si="1"/>
        <v>20</v>
      </c>
      <c r="B34" s="11">
        <v>2043</v>
      </c>
      <c r="C34" s="25">
        <f t="shared" si="0"/>
        <v>0.17219549301143888</v>
      </c>
      <c r="D34">
        <f t="shared" si="2"/>
        <v>1</v>
      </c>
    </row>
    <row r="35" spans="1:4" x14ac:dyDescent="0.25">
      <c r="A35" s="1">
        <f t="shared" si="1"/>
        <v>21</v>
      </c>
      <c r="B35" s="11">
        <v>2044</v>
      </c>
      <c r="C35" s="25">
        <f t="shared" si="0"/>
        <v>0.16093036730041013</v>
      </c>
      <c r="D35">
        <f t="shared" si="2"/>
        <v>1</v>
      </c>
    </row>
    <row r="36" spans="1:4" x14ac:dyDescent="0.25">
      <c r="A36" s="1">
        <f t="shared" si="1"/>
        <v>22</v>
      </c>
      <c r="B36" s="11">
        <v>2045</v>
      </c>
      <c r="C36" s="25">
        <f t="shared" si="0"/>
        <v>0.15040221243028987</v>
      </c>
      <c r="D36">
        <f t="shared" si="2"/>
        <v>1</v>
      </c>
    </row>
    <row r="37" spans="1:4" x14ac:dyDescent="0.25">
      <c r="A37" s="1">
        <f t="shared" si="1"/>
        <v>23</v>
      </c>
      <c r="B37" s="11">
        <v>2046</v>
      </c>
      <c r="C37" s="25">
        <f t="shared" si="0"/>
        <v>0.1405628153554111</v>
      </c>
      <c r="D37">
        <f t="shared" si="2"/>
        <v>1</v>
      </c>
    </row>
    <row r="38" spans="1:4" x14ac:dyDescent="0.25">
      <c r="A38" s="1">
        <f t="shared" si="1"/>
        <v>24</v>
      </c>
      <c r="B38" s="11">
        <v>2047</v>
      </c>
      <c r="C38" s="25">
        <f t="shared" si="0"/>
        <v>0.13136711715458982</v>
      </c>
      <c r="D38">
        <f t="shared" si="2"/>
        <v>1</v>
      </c>
    </row>
    <row r="39" spans="1:4" x14ac:dyDescent="0.25">
      <c r="A39" s="1">
        <f t="shared" si="1"/>
        <v>0</v>
      </c>
      <c r="B39" s="11">
        <v>2048</v>
      </c>
      <c r="C39" s="25">
        <f t="shared" si="0"/>
        <v>0.1227730066865325</v>
      </c>
      <c r="D39">
        <f t="shared" si="2"/>
        <v>0</v>
      </c>
    </row>
    <row r="40" spans="1:4" x14ac:dyDescent="0.25">
      <c r="A40" s="1">
        <f t="shared" si="1"/>
        <v>0</v>
      </c>
      <c r="B40" s="11">
        <v>2049</v>
      </c>
      <c r="C40" s="25">
        <f t="shared" si="0"/>
        <v>0.11474112774442291</v>
      </c>
      <c r="D40">
        <f t="shared" si="2"/>
        <v>0</v>
      </c>
    </row>
    <row r="41" spans="1:4" x14ac:dyDescent="0.25">
      <c r="A41" s="1">
        <f t="shared" si="1"/>
        <v>0</v>
      </c>
      <c r="B41" s="11">
        <v>2050</v>
      </c>
      <c r="C41" s="25">
        <f t="shared" si="0"/>
        <v>0.10723469882656347</v>
      </c>
      <c r="D41">
        <f t="shared" si="2"/>
        <v>0</v>
      </c>
    </row>
    <row r="42" spans="1:4" x14ac:dyDescent="0.25">
      <c r="A42" s="1">
        <f t="shared" si="1"/>
        <v>0</v>
      </c>
      <c r="B42" s="11">
        <v>2051</v>
      </c>
      <c r="C42" s="25">
        <f t="shared" si="0"/>
        <v>0.10021934469772288</v>
      </c>
      <c r="D42">
        <f t="shared" si="2"/>
        <v>0</v>
      </c>
    </row>
    <row r="43" spans="1:4" x14ac:dyDescent="0.25">
      <c r="A43" s="1">
        <f t="shared" si="1"/>
        <v>0</v>
      </c>
      <c r="B43" s="11">
        <v>2052</v>
      </c>
      <c r="C43" s="25">
        <f t="shared" si="0"/>
        <v>9.366293896983445E-2</v>
      </c>
      <c r="D43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G7" workbookViewId="0">
      <selection activeCell="U24" sqref="U24"/>
    </sheetView>
  </sheetViews>
  <sheetFormatPr defaultRowHeight="15" x14ac:dyDescent="0.25"/>
  <cols>
    <col min="2" max="2" width="13.42578125" style="18" customWidth="1"/>
    <col min="3" max="3" width="13.85546875" style="18" customWidth="1"/>
    <col min="4" max="4" width="12.7109375" style="18" customWidth="1"/>
    <col min="5" max="6" width="15.7109375" style="18" customWidth="1"/>
    <col min="7" max="8" width="20.5703125" style="18" customWidth="1"/>
    <col min="9" max="9" width="17.42578125" style="18" customWidth="1"/>
    <col min="10" max="12" width="22" style="18" customWidth="1"/>
    <col min="13" max="13" width="15.42578125" style="18" customWidth="1"/>
    <col min="14" max="14" width="13.140625" style="18" customWidth="1"/>
    <col min="15" max="16" width="17.28515625" style="18" customWidth="1"/>
    <col min="17" max="17" width="11.85546875" style="18" customWidth="1"/>
    <col min="18" max="18" width="9.140625" style="18"/>
    <col min="19" max="19" width="13.5703125" style="18" customWidth="1"/>
    <col min="20" max="20" width="12.42578125" style="18" bestFit="1" customWidth="1"/>
    <col min="21" max="23" width="9.140625" style="18"/>
  </cols>
  <sheetData>
    <row r="1" spans="1:17" x14ac:dyDescent="0.25">
      <c r="B1" s="83" t="s">
        <v>10</v>
      </c>
      <c r="C1" s="84" t="s">
        <v>99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x14ac:dyDescent="0.25">
      <c r="B2" s="83" t="s">
        <v>9</v>
      </c>
      <c r="C2" s="85" t="s">
        <v>100</v>
      </c>
      <c r="D2" s="85" t="s">
        <v>101</v>
      </c>
      <c r="E2" s="85" t="s">
        <v>226</v>
      </c>
      <c r="F2" s="85" t="s">
        <v>230</v>
      </c>
      <c r="G2" s="85" t="s">
        <v>227</v>
      </c>
      <c r="H2" s="85" t="s">
        <v>231</v>
      </c>
      <c r="I2" s="85" t="s">
        <v>228</v>
      </c>
      <c r="J2" s="85" t="s">
        <v>232</v>
      </c>
      <c r="K2" s="85" t="s">
        <v>229</v>
      </c>
      <c r="L2" s="85" t="s">
        <v>233</v>
      </c>
      <c r="M2" s="85" t="s">
        <v>102</v>
      </c>
      <c r="N2" s="85" t="s">
        <v>103</v>
      </c>
      <c r="O2" s="85" t="s">
        <v>104</v>
      </c>
      <c r="P2" s="85" t="s">
        <v>217</v>
      </c>
      <c r="Q2" s="85" t="s">
        <v>52</v>
      </c>
    </row>
    <row r="3" spans="1:17" x14ac:dyDescent="0.25">
      <c r="A3">
        <f>Costs!B3</f>
        <v>2017</v>
      </c>
      <c r="B3" s="18">
        <f>Costs!E3</f>
        <v>0</v>
      </c>
      <c r="C3" s="18">
        <f>'Operating Benefits'!K5</f>
        <v>0</v>
      </c>
      <c r="D3" s="18">
        <f>'Vessel Env. Impacts'!I3</f>
        <v>0</v>
      </c>
      <c r="E3" s="18">
        <f>'Truck Diversion Impacts'!H5</f>
        <v>0</v>
      </c>
      <c r="F3" s="18">
        <f>'Truck Diversion Impacts'!Z4</f>
        <v>0</v>
      </c>
      <c r="G3" s="18">
        <f>'Truck Emissions'!U7</f>
        <v>0</v>
      </c>
      <c r="H3" s="18">
        <f>'Truck Diversion Impacts'!AG4</f>
        <v>0</v>
      </c>
      <c r="I3" s="18">
        <f>'Truck Crashes'!J7</f>
        <v>0</v>
      </c>
      <c r="J3" s="18">
        <f>'Truck Diversion Impacts'!AM4</f>
        <v>0</v>
      </c>
      <c r="K3" s="18">
        <f>'Truck Pavement'!C6</f>
        <v>0</v>
      </c>
      <c r="L3" s="18">
        <f>'Truck Diversion Impacts'!AP4</f>
        <v>0</v>
      </c>
      <c r="M3" s="18">
        <f>'Auto VMT Savings'!D3</f>
        <v>0</v>
      </c>
      <c r="N3" s="18">
        <f>'Auto safety'!N5</f>
        <v>0</v>
      </c>
      <c r="O3" s="18">
        <f>'Auto Emissions'!S4</f>
        <v>0</v>
      </c>
      <c r="P3" s="18">
        <f>-447839.68*Discounting!D8</f>
        <v>0</v>
      </c>
      <c r="Q3" s="18">
        <f t="shared" ref="Q3:Q37" si="0">SUM(C3:P3)</f>
        <v>0</v>
      </c>
    </row>
    <row r="4" spans="1:17" x14ac:dyDescent="0.25">
      <c r="A4">
        <f>Costs!B4</f>
        <v>2018</v>
      </c>
      <c r="B4" s="18">
        <f>Costs!E4</f>
        <v>0</v>
      </c>
      <c r="C4" s="18">
        <f>'Operating Benefits'!K6</f>
        <v>0</v>
      </c>
      <c r="D4" s="18">
        <f>'Vessel Env. Impacts'!I4</f>
        <v>0</v>
      </c>
      <c r="E4" s="18">
        <f>'Truck Diversion Impacts'!H6</f>
        <v>0</v>
      </c>
      <c r="F4" s="18">
        <f>'Truck Diversion Impacts'!Z5</f>
        <v>0</v>
      </c>
      <c r="G4" s="18">
        <f>'Truck Emissions'!U8</f>
        <v>0</v>
      </c>
      <c r="H4" s="18">
        <f>'Truck Diversion Impacts'!AG5</f>
        <v>0</v>
      </c>
      <c r="I4" s="18">
        <f>'Truck Crashes'!J8</f>
        <v>0</v>
      </c>
      <c r="J4" s="18">
        <f>'Truck Diversion Impacts'!AM5</f>
        <v>0</v>
      </c>
      <c r="K4" s="18">
        <f>'Truck Pavement'!C7</f>
        <v>0</v>
      </c>
      <c r="L4" s="18">
        <f>'Truck Diversion Impacts'!AP5</f>
        <v>0</v>
      </c>
      <c r="M4" s="18">
        <f>'Auto VMT Savings'!D4</f>
        <v>0</v>
      </c>
      <c r="N4" s="18">
        <f>'Auto safety'!N6</f>
        <v>0</v>
      </c>
      <c r="O4" s="18">
        <f>'Auto Emissions'!S5</f>
        <v>0</v>
      </c>
      <c r="P4" s="18">
        <f>-447839.68*Discounting!D9</f>
        <v>0</v>
      </c>
      <c r="Q4" s="18">
        <f t="shared" si="0"/>
        <v>0</v>
      </c>
    </row>
    <row r="5" spans="1:17" x14ac:dyDescent="0.25">
      <c r="A5">
        <f>Costs!B5</f>
        <v>2019</v>
      </c>
      <c r="B5" s="18">
        <f>Costs!E5</f>
        <v>-191667.77656428999</v>
      </c>
      <c r="C5" s="18">
        <f>'Operating Benefits'!K7</f>
        <v>0</v>
      </c>
      <c r="D5" s="18">
        <f>'Vessel Env. Impacts'!I5</f>
        <v>0</v>
      </c>
      <c r="E5" s="18">
        <f>'Truck Diversion Impacts'!H7</f>
        <v>0</v>
      </c>
      <c r="F5" s="18">
        <f>'Truck Diversion Impacts'!Z6</f>
        <v>0</v>
      </c>
      <c r="G5" s="18">
        <f>'Truck Emissions'!U9</f>
        <v>0</v>
      </c>
      <c r="H5" s="18">
        <f>'Truck Diversion Impacts'!AG6</f>
        <v>0</v>
      </c>
      <c r="I5" s="18">
        <f>'Truck Crashes'!J9</f>
        <v>0</v>
      </c>
      <c r="J5" s="18">
        <f>'Truck Diversion Impacts'!AM6</f>
        <v>0</v>
      </c>
      <c r="K5" s="18">
        <f>'Truck Pavement'!C8</f>
        <v>0</v>
      </c>
      <c r="L5" s="18">
        <f>'Truck Diversion Impacts'!AP6</f>
        <v>0</v>
      </c>
      <c r="M5" s="18">
        <f>'Auto VMT Savings'!D5</f>
        <v>0</v>
      </c>
      <c r="N5" s="18">
        <f>'Auto safety'!N7</f>
        <v>0</v>
      </c>
      <c r="O5" s="18">
        <f>'Auto Emissions'!S6</f>
        <v>0</v>
      </c>
      <c r="P5" s="18">
        <f>-447839.68*Discounting!D10</f>
        <v>0</v>
      </c>
      <c r="Q5" s="18">
        <f t="shared" si="0"/>
        <v>0</v>
      </c>
    </row>
    <row r="6" spans="1:17" x14ac:dyDescent="0.25">
      <c r="A6">
        <f>Costs!B6</f>
        <v>2020</v>
      </c>
      <c r="B6" s="18">
        <f>Costs!E6</f>
        <v>-2348490.7828084999</v>
      </c>
      <c r="C6" s="18">
        <f>'Operating Benefits'!K8</f>
        <v>0</v>
      </c>
      <c r="D6" s="18">
        <f>'Vessel Env. Impacts'!I6</f>
        <v>0</v>
      </c>
      <c r="E6" s="18">
        <f>'Truck Diversion Impacts'!H8</f>
        <v>0</v>
      </c>
      <c r="F6" s="18">
        <f>'Truck Diversion Impacts'!Z7</f>
        <v>0</v>
      </c>
      <c r="G6" s="18">
        <f>'Truck Emissions'!U10</f>
        <v>0</v>
      </c>
      <c r="H6" s="18">
        <f>'Truck Diversion Impacts'!AG7</f>
        <v>0</v>
      </c>
      <c r="I6" s="18">
        <f>'Truck Crashes'!J10</f>
        <v>0</v>
      </c>
      <c r="J6" s="18">
        <f>'Truck Diversion Impacts'!AM7</f>
        <v>0</v>
      </c>
      <c r="K6" s="18">
        <f>'Truck Pavement'!C9</f>
        <v>0</v>
      </c>
      <c r="L6" s="18">
        <f>'Truck Diversion Impacts'!AP7</f>
        <v>0</v>
      </c>
      <c r="M6" s="18">
        <f>'Auto VMT Savings'!D6</f>
        <v>0</v>
      </c>
      <c r="N6" s="18">
        <f>'Auto safety'!N8</f>
        <v>0</v>
      </c>
      <c r="O6" s="18">
        <f>'Auto Emissions'!S7</f>
        <v>0</v>
      </c>
      <c r="P6" s="18">
        <f>-447839.68*Discounting!D11</f>
        <v>0</v>
      </c>
      <c r="Q6" s="18">
        <f t="shared" si="0"/>
        <v>0</v>
      </c>
    </row>
    <row r="7" spans="1:17" x14ac:dyDescent="0.25">
      <c r="A7">
        <f>Costs!B7</f>
        <v>2021</v>
      </c>
      <c r="B7" s="18">
        <f>Costs!E7</f>
        <v>-12280044.430462699</v>
      </c>
      <c r="C7" s="18">
        <f>'Operating Benefits'!K9</f>
        <v>0</v>
      </c>
      <c r="D7" s="18">
        <f>'Vessel Env. Impacts'!I7</f>
        <v>0</v>
      </c>
      <c r="E7" s="18">
        <f>'Truck Diversion Impacts'!H9</f>
        <v>0</v>
      </c>
      <c r="F7" s="18">
        <f>'Truck Diversion Impacts'!Z8</f>
        <v>0</v>
      </c>
      <c r="G7" s="18">
        <f>'Truck Emissions'!U11</f>
        <v>0</v>
      </c>
      <c r="H7" s="18">
        <f>'Truck Diversion Impacts'!AG8</f>
        <v>0</v>
      </c>
      <c r="I7" s="18">
        <f>'Truck Crashes'!J11</f>
        <v>0</v>
      </c>
      <c r="J7" s="18">
        <f>'Truck Diversion Impacts'!AM8</f>
        <v>0</v>
      </c>
      <c r="K7" s="18">
        <f>'Truck Pavement'!C10</f>
        <v>0</v>
      </c>
      <c r="L7" s="18">
        <f>'Truck Diversion Impacts'!AP8</f>
        <v>0</v>
      </c>
      <c r="M7" s="18">
        <f>'Auto VMT Savings'!D7</f>
        <v>0</v>
      </c>
      <c r="N7" s="18">
        <f>'Auto safety'!N9</f>
        <v>0</v>
      </c>
      <c r="O7" s="18">
        <f>'Auto Emissions'!S8</f>
        <v>0</v>
      </c>
      <c r="P7" s="18">
        <f>-447839.68*Discounting!D12</f>
        <v>0</v>
      </c>
      <c r="Q7" s="18">
        <f t="shared" si="0"/>
        <v>0</v>
      </c>
    </row>
    <row r="8" spans="1:17" x14ac:dyDescent="0.25">
      <c r="A8">
        <f>Costs!B8</f>
        <v>2022</v>
      </c>
      <c r="B8" s="18">
        <f>Costs!E8</f>
        <v>-46735168.037741899</v>
      </c>
      <c r="C8" s="18">
        <f>'Operating Benefits'!K10</f>
        <v>0</v>
      </c>
      <c r="D8" s="18">
        <f>'Vessel Env. Impacts'!I8</f>
        <v>0</v>
      </c>
      <c r="E8" s="18">
        <f>'Truck Diversion Impacts'!H10</f>
        <v>0</v>
      </c>
      <c r="F8" s="18">
        <f>'Truck Diversion Impacts'!Z9</f>
        <v>0</v>
      </c>
      <c r="G8" s="18">
        <f>'Truck Emissions'!U12</f>
        <v>0</v>
      </c>
      <c r="H8" s="18">
        <f>'Truck Diversion Impacts'!AG9</f>
        <v>0</v>
      </c>
      <c r="I8" s="18">
        <f>'Truck Crashes'!J12</f>
        <v>0</v>
      </c>
      <c r="J8" s="18">
        <f>'Truck Diversion Impacts'!AM9</f>
        <v>0</v>
      </c>
      <c r="K8" s="18">
        <f>'Truck Pavement'!C11</f>
        <v>0</v>
      </c>
      <c r="L8" s="18">
        <f>'Truck Diversion Impacts'!AP9</f>
        <v>0</v>
      </c>
      <c r="M8" s="18">
        <f>'Auto VMT Savings'!D8</f>
        <v>0</v>
      </c>
      <c r="N8" s="18">
        <f>'Auto safety'!N10</f>
        <v>0</v>
      </c>
      <c r="O8" s="18">
        <f>'Auto Emissions'!S9</f>
        <v>0</v>
      </c>
      <c r="P8" s="18">
        <f>-447839.68*Discounting!D13</f>
        <v>0</v>
      </c>
      <c r="Q8" s="18">
        <f t="shared" si="0"/>
        <v>0</v>
      </c>
    </row>
    <row r="9" spans="1:17" x14ac:dyDescent="0.25">
      <c r="A9">
        <f>Costs!B9</f>
        <v>2023</v>
      </c>
      <c r="B9" s="18">
        <f>Costs!E9</f>
        <v>-34346295.040716901</v>
      </c>
      <c r="C9" s="18">
        <f>'Operating Benefits'!K11</f>
        <v>0</v>
      </c>
      <c r="D9" s="18">
        <f>'Vessel Env. Impacts'!I9</f>
        <v>0</v>
      </c>
      <c r="E9" s="18">
        <f>'Truck Diversion Impacts'!H11</f>
        <v>0</v>
      </c>
      <c r="F9" s="18">
        <f>'Truck Diversion Impacts'!Z10</f>
        <v>0</v>
      </c>
      <c r="G9" s="18">
        <f>'Truck Emissions'!U13</f>
        <v>0</v>
      </c>
      <c r="H9" s="18">
        <f>'Truck Diversion Impacts'!AG10</f>
        <v>0</v>
      </c>
      <c r="I9" s="18">
        <f>'Truck Crashes'!J13</f>
        <v>0</v>
      </c>
      <c r="J9" s="18">
        <f>'Truck Diversion Impacts'!AM10</f>
        <v>0</v>
      </c>
      <c r="K9" s="18">
        <f>'Truck Pavement'!C12</f>
        <v>0</v>
      </c>
      <c r="L9" s="18">
        <f>'Truck Diversion Impacts'!AP10</f>
        <v>0</v>
      </c>
      <c r="M9" s="18">
        <f>'Auto VMT Savings'!D9</f>
        <v>0</v>
      </c>
      <c r="N9" s="18">
        <f>'Auto safety'!N11</f>
        <v>0</v>
      </c>
      <c r="O9" s="18">
        <f>'Auto Emissions'!S10</f>
        <v>0</v>
      </c>
      <c r="P9" s="18">
        <f>-447839.68*Discounting!D14</f>
        <v>0</v>
      </c>
      <c r="Q9" s="18">
        <f t="shared" si="0"/>
        <v>0</v>
      </c>
    </row>
    <row r="10" spans="1:17" x14ac:dyDescent="0.25">
      <c r="A10">
        <f>Costs!B10</f>
        <v>2024</v>
      </c>
      <c r="B10" s="18">
        <f>Costs!E10</f>
        <v>0</v>
      </c>
      <c r="C10" s="18">
        <f>'Operating Benefits'!K12</f>
        <v>5039387.4918610062</v>
      </c>
      <c r="D10" s="18">
        <f>'Vessel Env. Impacts'!I10</f>
        <v>273716.27492828527</v>
      </c>
      <c r="E10" s="18">
        <f>'Truck Diversion Impacts'!H12</f>
        <v>880977.26792807633</v>
      </c>
      <c r="F10" s="18">
        <f>'Truck Diversion Impacts'!Z11</f>
        <v>0</v>
      </c>
      <c r="G10" s="18">
        <f>'Truck Emissions'!U14</f>
        <v>50883.432385304783</v>
      </c>
      <c r="H10" s="18">
        <f>'Truck Diversion Impacts'!AG11</f>
        <v>0</v>
      </c>
      <c r="I10" s="18">
        <f>'Truck Crashes'!J14</f>
        <v>131894.54728445216</v>
      </c>
      <c r="J10" s="18">
        <f>'Truck Diversion Impacts'!AM11</f>
        <v>0</v>
      </c>
      <c r="K10" s="18">
        <f>'Truck Pavement'!C13</f>
        <v>32473.470526863905</v>
      </c>
      <c r="L10" s="18">
        <f>'Truck Diversion Impacts'!AP11</f>
        <v>0</v>
      </c>
      <c r="M10" s="18">
        <f>'Auto VMT Savings'!D10</f>
        <v>48905.999999999993</v>
      </c>
      <c r="N10" s="18">
        <f>'Auto safety'!N12</f>
        <v>27752.772701306531</v>
      </c>
      <c r="O10" s="18">
        <f>'Auto Emissions'!S11</f>
        <v>15047.241374896768</v>
      </c>
      <c r="P10" s="18">
        <f>-447839.68*Discounting!D15</f>
        <v>-447839.68</v>
      </c>
      <c r="Q10" s="18">
        <f t="shared" si="0"/>
        <v>6053198.8189901914</v>
      </c>
    </row>
    <row r="11" spans="1:17" x14ac:dyDescent="0.25">
      <c r="A11">
        <f>Costs!B11</f>
        <v>2025</v>
      </c>
      <c r="B11" s="18">
        <f>Costs!E11</f>
        <v>0</v>
      </c>
      <c r="C11" s="18">
        <f>'Operating Benefits'!K13</f>
        <v>4847038.0521576498</v>
      </c>
      <c r="D11" s="18">
        <f>'Vessel Env. Impacts'!I11</f>
        <v>270310.45070725924</v>
      </c>
      <c r="E11" s="18">
        <f>'Truck Diversion Impacts'!H13</f>
        <v>1354771.1400698833</v>
      </c>
      <c r="F11" s="18">
        <f>'Truck Diversion Impacts'!Z12</f>
        <v>0</v>
      </c>
      <c r="G11" s="18">
        <f>'Truck Emissions'!U15</f>
        <v>68407.423956030441</v>
      </c>
      <c r="H11" s="18">
        <f>'Truck Diversion Impacts'!AG12</f>
        <v>0</v>
      </c>
      <c r="I11" s="18">
        <f>'Truck Crashes'!J15</f>
        <v>202828.07820206601</v>
      </c>
      <c r="J11" s="18">
        <f>'Truck Diversion Impacts'!AM12</f>
        <v>0</v>
      </c>
      <c r="K11" s="18">
        <f>'Truck Pavement'!C14</f>
        <v>49937.86138338461</v>
      </c>
      <c r="L11" s="18">
        <f>'Truck Diversion Impacts'!AP12</f>
        <v>0</v>
      </c>
      <c r="M11" s="18">
        <f>'Auto VMT Savings'!D11</f>
        <v>43906.19999999999</v>
      </c>
      <c r="N11" s="18">
        <f>'Auto safety'!N13</f>
        <v>24915.527517648232</v>
      </c>
      <c r="O11" s="18">
        <f>'Auto Emissions'!S12</f>
        <v>12344.350024696394</v>
      </c>
      <c r="P11" s="18">
        <f>-447839.68*Discounting!D16</f>
        <v>-447839.68</v>
      </c>
      <c r="Q11" s="18">
        <f t="shared" si="0"/>
        <v>6426619.4040186191</v>
      </c>
    </row>
    <row r="12" spans="1:17" x14ac:dyDescent="0.25">
      <c r="A12">
        <f>Costs!B12</f>
        <v>2026</v>
      </c>
      <c r="B12" s="18">
        <f>Costs!E12</f>
        <v>0</v>
      </c>
      <c r="C12" s="18">
        <f>'Operating Benefits'!K14</f>
        <v>4764186.3034762461</v>
      </c>
      <c r="D12" s="18">
        <f>'Vessel Env. Impacts'!I12</f>
        <v>264218.20508465311</v>
      </c>
      <c r="E12" s="18">
        <f>'Truck Diversion Impacts'!H14</f>
        <v>1852254.7058187807</v>
      </c>
      <c r="F12" s="18">
        <f>'Truck Diversion Impacts'!Z13</f>
        <v>1407932.3829044299</v>
      </c>
      <c r="G12" s="18">
        <f>'Truck Emissions'!U16</f>
        <v>85951.425278977084</v>
      </c>
      <c r="H12" s="18">
        <f>'Truck Diversion Impacts'!AG13</f>
        <v>65333.236636895832</v>
      </c>
      <c r="I12" s="18">
        <f>'Truck Crashes'!J16</f>
        <v>277308.28566556063</v>
      </c>
      <c r="J12" s="18">
        <f>'Truck Diversion Impacts'!AM13</f>
        <v>210787.05547878033</v>
      </c>
      <c r="K12" s="18">
        <f>'Truck Pavement'!C15</f>
        <v>68275.471782731358</v>
      </c>
      <c r="L12" s="18">
        <f>'Truck Diversion Impacts'!AP13</f>
        <v>111615.0076149129</v>
      </c>
      <c r="M12" s="18">
        <f>'Auto VMT Savings'!D12</f>
        <v>40659.098999999995</v>
      </c>
      <c r="N12" s="18">
        <f>'Auto safety'!N14</f>
        <v>23072.889477506225</v>
      </c>
      <c r="O12" s="18">
        <f>'Auto Emissions'!S13</f>
        <v>10294.630320081431</v>
      </c>
      <c r="P12" s="18">
        <f>-447839.68*Discounting!D17</f>
        <v>-447839.68</v>
      </c>
      <c r="Q12" s="18">
        <f t="shared" si="0"/>
        <v>8734049.0185395554</v>
      </c>
    </row>
    <row r="13" spans="1:17" x14ac:dyDescent="0.25">
      <c r="A13">
        <f>Costs!B13</f>
        <v>2027</v>
      </c>
      <c r="B13" s="18">
        <f>Costs!E13</f>
        <v>0</v>
      </c>
      <c r="C13" s="18">
        <f>'Operating Benefits'!K15</f>
        <v>4676803.9508144222</v>
      </c>
      <c r="D13" s="18">
        <f>'Vessel Env. Impacts'!I13</f>
        <v>257767.27047712059</v>
      </c>
      <c r="E13" s="18">
        <f>'Truck Diversion Impacts'!H15</f>
        <v>2374612.4498551227</v>
      </c>
      <c r="F13" s="18">
        <f>'Truck Diversion Impacts'!Z14</f>
        <v>6926193.1196967196</v>
      </c>
      <c r="G13" s="18">
        <f>'Truck Emissions'!U17</f>
        <v>100484.14652966734</v>
      </c>
      <c r="H13" s="18">
        <f>'Truck Diversion Impacts'!AG14</f>
        <v>293088.92252074264</v>
      </c>
      <c r="I13" s="18">
        <f>'Truck Crashes'!J17</f>
        <v>355512.50350223004</v>
      </c>
      <c r="J13" s="18">
        <f>'Truck Diversion Impacts'!AM14</f>
        <v>1036947.4209880148</v>
      </c>
      <c r="K13" s="18">
        <f>'Truck Pavement'!C16</f>
        <v>87529.962702045435</v>
      </c>
      <c r="L13" s="18">
        <f>'Truck Diversion Impacts'!AP14</f>
        <v>549079.70523594541</v>
      </c>
      <c r="M13" s="18">
        <f>'Auto VMT Savings'!D13</f>
        <v>36941.168354999994</v>
      </c>
      <c r="N13" s="18">
        <f>'Auto safety'!N15</f>
        <v>20963.068921543629</v>
      </c>
      <c r="O13" s="18">
        <f>'Auto Emissions'!S14</f>
        <v>8445.6051189871905</v>
      </c>
      <c r="P13" s="18">
        <f>-447839.68*Discounting!D18</f>
        <v>-447839.68</v>
      </c>
      <c r="Q13" s="18">
        <f t="shared" si="0"/>
        <v>16276529.61471756</v>
      </c>
    </row>
    <row r="14" spans="1:17" x14ac:dyDescent="0.25">
      <c r="A14">
        <f>Costs!B14</f>
        <v>2028</v>
      </c>
      <c r="B14" s="18">
        <f>Costs!E14</f>
        <v>0</v>
      </c>
      <c r="C14" s="18">
        <f>'Operating Benefits'!K16</f>
        <v>4572544.7825445756</v>
      </c>
      <c r="D14" s="18">
        <f>'Vessel Env. Impacts'!I14</f>
        <v>247978.81019011734</v>
      </c>
      <c r="E14" s="18">
        <f>'Truck Diversion Impacts'!H16</f>
        <v>2923088.0810932815</v>
      </c>
      <c r="F14" s="18">
        <f>'Truck Diversion Impacts'!Z15</f>
        <v>9079773.5294117574</v>
      </c>
      <c r="G14" s="18">
        <f>'Truck Emissions'!U18</f>
        <v>111743.7512125522</v>
      </c>
      <c r="H14" s="18">
        <f>'Truck Diversion Impacts'!AG15</f>
        <v>347101.39625947393</v>
      </c>
      <c r="I14" s="18">
        <f>'Truck Crashes'!J18</f>
        <v>437626.93223073264</v>
      </c>
      <c r="J14" s="18">
        <f>'Truck Diversion Impacts'!AM15</f>
        <v>1359368.3545588225</v>
      </c>
      <c r="K14" s="18">
        <f>'Truck Pavement'!C17</f>
        <v>107747.17816732521</v>
      </c>
      <c r="L14" s="18">
        <f>'Truck Diversion Impacts'!AP15</f>
        <v>719806.57873380964</v>
      </c>
      <c r="M14" s="18">
        <f>'Auto VMT Savings'!D14</f>
        <v>32684.137766474993</v>
      </c>
      <c r="N14" s="18">
        <f>'Auto safety'!N16</f>
        <v>18547.324384966447</v>
      </c>
      <c r="O14" s="18">
        <f>'Auto Emissions'!S15</f>
        <v>6647.1877172778914</v>
      </c>
      <c r="P14" s="18">
        <f>-447839.68*Discounting!D19</f>
        <v>-447839.68</v>
      </c>
      <c r="Q14" s="18">
        <f t="shared" si="0"/>
        <v>19516818.364271168</v>
      </c>
    </row>
    <row r="15" spans="1:17" x14ac:dyDescent="0.25">
      <c r="A15">
        <f>Costs!B15</f>
        <v>2029</v>
      </c>
      <c r="B15" s="18">
        <f>Costs!E15</f>
        <v>0</v>
      </c>
      <c r="C15" s="18">
        <f>'Operating Benefits'!K17</f>
        <v>4477401.0007160977</v>
      </c>
      <c r="D15" s="18">
        <f>'Vessel Env. Impacts'!I15</f>
        <v>241120.09729668556</v>
      </c>
      <c r="E15" s="18">
        <f>'Truck Diversion Impacts'!H17</f>
        <v>1234959.4871488672</v>
      </c>
      <c r="F15" s="18">
        <f>'Truck Diversion Impacts'!Z16</f>
        <v>9079773.5294117574</v>
      </c>
      <c r="G15" s="18">
        <f>'Truck Emissions'!U19</f>
        <v>42161.319928656092</v>
      </c>
      <c r="H15" s="18">
        <f>'Truck Diversion Impacts'!AG16</f>
        <v>309982.02016899502</v>
      </c>
      <c r="I15" s="18">
        <f>'Truck Crashes'!J19</f>
        <v>184890.60773976415</v>
      </c>
      <c r="J15" s="18">
        <f>'Truck Diversion Impacts'!AM16</f>
        <v>1359368.3545588225</v>
      </c>
      <c r="K15" s="18">
        <f>'Truck Pavement'!C18</f>
        <v>97902.437813014127</v>
      </c>
      <c r="L15" s="18">
        <f>'Truck Diversion Impacts'!AP16</f>
        <v>719806.57873380964</v>
      </c>
      <c r="M15" s="18">
        <f>'Auto VMT Savings'!D15</f>
        <v>27809.837742613869</v>
      </c>
      <c r="N15" s="18">
        <f>'Auto safety'!N17</f>
        <v>15781.296890585578</v>
      </c>
      <c r="O15" s="18">
        <f>'Auto Emissions'!S16</f>
        <v>4803.2376105875464</v>
      </c>
      <c r="P15" s="18">
        <f>-447839.68*Discounting!D20</f>
        <v>-447839.68</v>
      </c>
      <c r="Q15" s="18">
        <f t="shared" si="0"/>
        <v>17347920.125760257</v>
      </c>
    </row>
    <row r="16" spans="1:17" x14ac:dyDescent="0.25">
      <c r="A16">
        <f>Costs!B16</f>
        <v>2030</v>
      </c>
      <c r="B16" s="18">
        <f>Costs!E16</f>
        <v>0</v>
      </c>
      <c r="C16" s="18">
        <f>'Operating Benefits'!K18</f>
        <v>4378004.9704810958</v>
      </c>
      <c r="D16" s="18">
        <f>'Vessel Env. Impacts'!I16</f>
        <v>233953.85423525772</v>
      </c>
      <c r="E16" s="18">
        <f>'Truck Diversion Impacts'!H18</f>
        <v>1448384.9615063106</v>
      </c>
      <c r="F16" s="18">
        <f>'Truck Diversion Impacts'!Z17</f>
        <v>9079773.5294117574</v>
      </c>
      <c r="G16" s="18">
        <f>'Truck Emissions'!U20</f>
        <v>43526.580288978548</v>
      </c>
      <c r="H16" s="18">
        <f>'Truck Diversion Impacts'!AG17</f>
        <v>272863.57013998937</v>
      </c>
      <c r="I16" s="18">
        <f>'Truck Crashes'!J20</f>
        <v>216843.36900175232</v>
      </c>
      <c r="J16" s="18">
        <f>'Truck Diversion Impacts'!AM17</f>
        <v>1359368.3545588225</v>
      </c>
      <c r="K16" s="18">
        <f>'Truck Pavement'!C19</f>
        <v>114821.91934129674</v>
      </c>
      <c r="L16" s="18">
        <f>'Truck Diversion Impacts'!AP17</f>
        <v>719806.57873380964</v>
      </c>
      <c r="M16" s="18">
        <f>'Auto VMT Savings'!D16</f>
        <v>22228.764215292882</v>
      </c>
      <c r="N16" s="18">
        <f>'Auto safety'!N18</f>
        <v>12614.195409519483</v>
      </c>
      <c r="O16" s="18">
        <f>'Auto Emissions'!S17</f>
        <v>3482.6219324354579</v>
      </c>
      <c r="P16" s="18">
        <f>-447839.68*Discounting!D21</f>
        <v>-447839.68</v>
      </c>
      <c r="Q16" s="18">
        <f t="shared" si="0"/>
        <v>17457833.589256316</v>
      </c>
    </row>
    <row r="17" spans="1:17" x14ac:dyDescent="0.25">
      <c r="A17">
        <f>Costs!B17</f>
        <v>2031</v>
      </c>
      <c r="B17" s="18">
        <f>Costs!E17</f>
        <v>0</v>
      </c>
      <c r="C17" s="18">
        <f>'Operating Benefits'!K19</f>
        <v>4275666.3063168693</v>
      </c>
      <c r="D17" s="18">
        <f>'Vessel Env. Impacts'!I17</f>
        <v>226778.06251274081</v>
      </c>
      <c r="E17" s="18">
        <f>'Truck Diversion Impacts'!H19</f>
        <v>1672481.7095816263</v>
      </c>
      <c r="F17" s="18">
        <f>'Truck Diversion Impacts'!Z18</f>
        <v>9079773.5294117574</v>
      </c>
      <c r="G17" s="18">
        <f>'Truck Emissions'!U21</f>
        <v>48842.926976407492</v>
      </c>
      <c r="H17" s="18">
        <f>'Truck Diversion Impacts'!AG18</f>
        <v>265164.4636342923</v>
      </c>
      <c r="I17" s="18">
        <f>'Truck Crashes'!J21</f>
        <v>250393.76832683999</v>
      </c>
      <c r="J17" s="18">
        <f>'Truck Diversion Impacts'!AM18</f>
        <v>1359368.3545588225</v>
      </c>
      <c r="K17" s="18">
        <f>'Truck Pavement'!C20</f>
        <v>132587.37494599354</v>
      </c>
      <c r="L17" s="18">
        <f>'Truck Diversion Impacts'!AP18</f>
        <v>719806.57873380964</v>
      </c>
      <c r="M17" s="18">
        <f>'Auto VMT Savings'!D17</f>
        <v>15838.435026510351</v>
      </c>
      <c r="N17" s="18">
        <f>'Auto safety'!N19</f>
        <v>8987.8642136988037</v>
      </c>
      <c r="O17" s="18">
        <f>'Auto Emissions'!S18</f>
        <v>2249.0518632862049</v>
      </c>
      <c r="P17" s="18">
        <f>-447839.68*Discounting!D22</f>
        <v>-447839.68</v>
      </c>
      <c r="Q17" s="18">
        <f t="shared" si="0"/>
        <v>17610098.746102653</v>
      </c>
    </row>
    <row r="18" spans="1:17" x14ac:dyDescent="0.25">
      <c r="A18">
        <f>Costs!B18</f>
        <v>2032</v>
      </c>
      <c r="B18" s="18">
        <f>Costs!E18</f>
        <v>0</v>
      </c>
      <c r="C18" s="18">
        <f>'Operating Benefits'!K20</f>
        <v>4165495.1667362652</v>
      </c>
      <c r="D18" s="18">
        <f>'Vessel Env. Impacts'!I18</f>
        <v>219053.07256960342</v>
      </c>
      <c r="E18" s="18">
        <f>'Truck Diversion Impacts'!H20</f>
        <v>1895968.75</v>
      </c>
      <c r="F18" s="18">
        <f>'Truck Diversion Impacts'!Z19</f>
        <v>9079773.5294117574</v>
      </c>
      <c r="G18" s="18">
        <f>'Truck Emissions'!U22</f>
        <v>53761.983640701612</v>
      </c>
      <c r="H18" s="18">
        <f>'Truck Diversion Impacts'!AG19</f>
        <v>257465.54944511113</v>
      </c>
      <c r="I18" s="18">
        <f>'Truck Crashes'!J22</f>
        <v>283852.88593749999</v>
      </c>
      <c r="J18" s="18">
        <f>'Truck Diversion Impacts'!AM19</f>
        <v>1359368.3545588225</v>
      </c>
      <c r="K18" s="18">
        <f>'Truck Pavement'!C21</f>
        <v>150304.49547039895</v>
      </c>
      <c r="L18" s="18">
        <f>'Truck Diversion Impacts'!AP19</f>
        <v>719806.57873380964</v>
      </c>
      <c r="M18" s="18">
        <f>'Auto VMT Savings'!D18</f>
        <v>8384.9999999999891</v>
      </c>
      <c r="N18" s="18">
        <f>'Auto safety'!N20</f>
        <v>4758.2505030150687</v>
      </c>
      <c r="O18" s="18">
        <f>'Auto Emissions'!S19</f>
        <v>1097.1626012984264</v>
      </c>
      <c r="P18" s="18">
        <f>-447839.68*Discounting!D23</f>
        <v>-447839.68</v>
      </c>
      <c r="Q18" s="18">
        <f t="shared" si="0"/>
        <v>17751251.099608283</v>
      </c>
    </row>
    <row r="19" spans="1:17" x14ac:dyDescent="0.25">
      <c r="A19">
        <f>Costs!B19</f>
        <v>2033</v>
      </c>
      <c r="B19" s="18">
        <f>Costs!E19</f>
        <v>0</v>
      </c>
      <c r="C19" s="18">
        <f>'Operating Benefits'!K21</f>
        <v>4165495.1667362652</v>
      </c>
      <c r="D19" s="18">
        <f>'Vessel Env. Impacts'!I19</f>
        <v>219053.07256960342</v>
      </c>
      <c r="E19" s="18">
        <f>'Truck Diversion Impacts'!H21</f>
        <v>1895968.75</v>
      </c>
      <c r="F19" s="18">
        <f>'Truck Diversion Impacts'!Z20</f>
        <v>9079773.5294117574</v>
      </c>
      <c r="G19" s="18">
        <f>'Truck Emissions'!U23</f>
        <v>52154.359210594514</v>
      </c>
      <c r="H19" s="18">
        <f>'Truck Diversion Impacts'!AG20</f>
        <v>249766.65369816261</v>
      </c>
      <c r="I19" s="18">
        <f>'Truck Crashes'!J23</f>
        <v>283852.88593749999</v>
      </c>
      <c r="J19" s="18">
        <f>'Truck Diversion Impacts'!AM20</f>
        <v>1359368.3545588225</v>
      </c>
      <c r="K19" s="18">
        <f>'Truck Pavement'!C22</f>
        <v>150304.49547039895</v>
      </c>
      <c r="L19" s="18">
        <f>'Truck Diversion Impacts'!AP20</f>
        <v>719806.57873380964</v>
      </c>
      <c r="M19" s="18">
        <f>'Auto VMT Savings'!D19</f>
        <v>8384.9999999999891</v>
      </c>
      <c r="N19" s="18">
        <f>'Auto safety'!N21</f>
        <v>4758.2505030150687</v>
      </c>
      <c r="O19" s="18">
        <f>'Auto Emissions'!S20</f>
        <v>946.60936448057259</v>
      </c>
      <c r="P19" s="18">
        <f>-447839.68*Discounting!D24</f>
        <v>-447839.68</v>
      </c>
      <c r="Q19" s="18">
        <f t="shared" si="0"/>
        <v>17741794.026194409</v>
      </c>
    </row>
    <row r="20" spans="1:17" x14ac:dyDescent="0.25">
      <c r="A20">
        <f>Costs!B20</f>
        <v>2034</v>
      </c>
      <c r="B20" s="18">
        <f>Costs!E20</f>
        <v>0</v>
      </c>
      <c r="C20" s="18">
        <f>'Operating Benefits'!K22</f>
        <v>4165495.1667362652</v>
      </c>
      <c r="D20" s="18">
        <f>'Vessel Env. Impacts'!I20</f>
        <v>219053.07256960342</v>
      </c>
      <c r="E20" s="18">
        <f>'Truck Diversion Impacts'!H22</f>
        <v>1895968.75</v>
      </c>
      <c r="F20" s="18">
        <f>'Truck Diversion Impacts'!Z21</f>
        <v>9079773.5294117574</v>
      </c>
      <c r="G20" s="18">
        <f>'Truck Emissions'!U24</f>
        <v>50547.241820505675</v>
      </c>
      <c r="H20" s="18">
        <f>'Truck Diversion Impacts'!AG21</f>
        <v>242070.18616029527</v>
      </c>
      <c r="I20" s="18">
        <f>'Truck Crashes'!J24</f>
        <v>283852.88593749999</v>
      </c>
      <c r="J20" s="18">
        <f>'Truck Diversion Impacts'!AM21</f>
        <v>1359368.3545588225</v>
      </c>
      <c r="K20" s="18">
        <f>'Truck Pavement'!C23</f>
        <v>150304.49547039895</v>
      </c>
      <c r="L20" s="18">
        <f>'Truck Diversion Impacts'!AP21</f>
        <v>719806.57873380964</v>
      </c>
      <c r="M20" s="18">
        <f>'Auto VMT Savings'!D20</f>
        <v>8384.9999999999891</v>
      </c>
      <c r="N20" s="18">
        <f>'Auto safety'!N22</f>
        <v>4758.2505030150687</v>
      </c>
      <c r="O20" s="18">
        <f>'Auto Emissions'!S21</f>
        <v>816.79726979152747</v>
      </c>
      <c r="P20" s="18">
        <f>-447839.68*Discounting!D25</f>
        <v>-447839.68</v>
      </c>
      <c r="Q20" s="18">
        <f t="shared" si="0"/>
        <v>17732360.629171763</v>
      </c>
    </row>
    <row r="21" spans="1:17" x14ac:dyDescent="0.25">
      <c r="A21">
        <f>Costs!B21</f>
        <v>2035</v>
      </c>
      <c r="B21" s="18">
        <f>Costs!E21</f>
        <v>0</v>
      </c>
      <c r="C21" s="18">
        <f>'Operating Benefits'!K23</f>
        <v>4165495.1667362652</v>
      </c>
      <c r="D21" s="18">
        <f>'Vessel Env. Impacts'!I21</f>
        <v>219053.07256960342</v>
      </c>
      <c r="E21" s="18">
        <f>'Truck Diversion Impacts'!H23</f>
        <v>1895968.75</v>
      </c>
      <c r="F21" s="18">
        <f>'Truck Diversion Impacts'!Z22</f>
        <v>9079773.5294117574</v>
      </c>
      <c r="G21" s="18">
        <f>'Truck Emissions'!U25</f>
        <v>42092.279413652941</v>
      </c>
      <c r="H21" s="18">
        <f>'Truck Diversion Impacts'!AG22</f>
        <v>201579.46401420882</v>
      </c>
      <c r="I21" s="18">
        <f>'Truck Crashes'!J25</f>
        <v>283852.88593749999</v>
      </c>
      <c r="J21" s="18">
        <f>'Truck Diversion Impacts'!AM22</f>
        <v>1359368.3545588225</v>
      </c>
      <c r="K21" s="18">
        <f>'Truck Pavement'!C24</f>
        <v>150304.49547039895</v>
      </c>
      <c r="L21" s="18">
        <f>'Truck Diversion Impacts'!AP22</f>
        <v>719806.57873380964</v>
      </c>
      <c r="M21" s="18">
        <f>'Auto VMT Savings'!D21</f>
        <v>8384.9999999999891</v>
      </c>
      <c r="N21" s="18">
        <f>'Auto safety'!N23</f>
        <v>4758.2505030150687</v>
      </c>
      <c r="O21" s="18">
        <f>'Auto Emissions'!S22</f>
        <v>708.1203253148775</v>
      </c>
      <c r="P21" s="18">
        <f>-447839.68*Discounting!D26</f>
        <v>-447839.68</v>
      </c>
      <c r="Q21" s="18">
        <f t="shared" si="0"/>
        <v>17683306.267674349</v>
      </c>
    </row>
    <row r="22" spans="1:17" x14ac:dyDescent="0.25">
      <c r="A22">
        <f>Costs!B22</f>
        <v>2036</v>
      </c>
      <c r="B22" s="18">
        <f>Costs!E22</f>
        <v>0</v>
      </c>
      <c r="C22" s="18">
        <f>'Operating Benefits'!K24</f>
        <v>4165495.1667362652</v>
      </c>
      <c r="D22" s="18">
        <f>'Vessel Env. Impacts'!I22</f>
        <v>219053.07256960342</v>
      </c>
      <c r="E22" s="18">
        <f>'Truck Diversion Impacts'!H24</f>
        <v>1895968.75</v>
      </c>
      <c r="F22" s="18">
        <f>'Truck Diversion Impacts'!Z23</f>
        <v>9079773.5294117574</v>
      </c>
      <c r="G22" s="18">
        <f>'Truck Emissions'!U26</f>
        <v>41624.05356322218</v>
      </c>
      <c r="H22" s="18">
        <f>'Truck Diversion Impacts'!AG23</f>
        <v>199337.13555677637</v>
      </c>
      <c r="I22" s="18">
        <f>'Truck Crashes'!J26</f>
        <v>283852.88593749999</v>
      </c>
      <c r="J22" s="18">
        <f>'Truck Diversion Impacts'!AM23</f>
        <v>1359368.3545588225</v>
      </c>
      <c r="K22" s="18">
        <f>'Truck Pavement'!C25</f>
        <v>150304.49547039895</v>
      </c>
      <c r="L22" s="18">
        <f>'Truck Diversion Impacts'!AP23</f>
        <v>719806.57873380964</v>
      </c>
      <c r="M22" s="18">
        <f>'Auto VMT Savings'!D22</f>
        <v>8384.9999999999891</v>
      </c>
      <c r="N22" s="18">
        <f>'Auto safety'!N24</f>
        <v>4758.2505030150687</v>
      </c>
      <c r="O22" s="18">
        <f>'Auto Emissions'!S23</f>
        <v>633.70980292046875</v>
      </c>
      <c r="P22" s="18">
        <f>-447839.68*Discounting!D27</f>
        <v>-447839.68</v>
      </c>
      <c r="Q22" s="18">
        <f t="shared" si="0"/>
        <v>17680521.302844092</v>
      </c>
    </row>
    <row r="23" spans="1:17" x14ac:dyDescent="0.25">
      <c r="A23">
        <f>Costs!B23</f>
        <v>2037</v>
      </c>
      <c r="B23" s="18">
        <f>Costs!E23</f>
        <v>0</v>
      </c>
      <c r="C23" s="18">
        <f>'Operating Benefits'!K25</f>
        <v>4165495.1667362652</v>
      </c>
      <c r="D23" s="18">
        <f>'Vessel Env. Impacts'!I23</f>
        <v>219053.07256960342</v>
      </c>
      <c r="E23" s="18">
        <f>'Truck Diversion Impacts'!H25</f>
        <v>1895968.75</v>
      </c>
      <c r="F23" s="18">
        <f>'Truck Diversion Impacts'!Z24</f>
        <v>9079773.5294117574</v>
      </c>
      <c r="G23" s="18">
        <f>'Truck Emissions'!U27</f>
        <v>41155.826246966935</v>
      </c>
      <c r="H23" s="18">
        <f>'Truck Diversion Impacts'!AG24</f>
        <v>197094.80007952661</v>
      </c>
      <c r="I23" s="18">
        <f>'Truck Crashes'!J27</f>
        <v>283852.88593749999</v>
      </c>
      <c r="J23" s="18">
        <f>'Truck Diversion Impacts'!AM24</f>
        <v>1359368.3545588225</v>
      </c>
      <c r="K23" s="18">
        <f>'Truck Pavement'!C26</f>
        <v>150304.49547039895</v>
      </c>
      <c r="L23" s="18">
        <f>'Truck Diversion Impacts'!AP24</f>
        <v>719806.57873380964</v>
      </c>
      <c r="M23" s="18">
        <f>'Auto VMT Savings'!D23</f>
        <v>8384.9999999999891</v>
      </c>
      <c r="N23" s="18">
        <f>'Auto safety'!N25</f>
        <v>4758.2505030150687</v>
      </c>
      <c r="O23" s="18">
        <f>'Auto Emissions'!S24</f>
        <v>553.44107790821033</v>
      </c>
      <c r="P23" s="18">
        <f>-447839.68*Discounting!D28</f>
        <v>-447839.68</v>
      </c>
      <c r="Q23" s="18">
        <f t="shared" si="0"/>
        <v>17677730.471325573</v>
      </c>
    </row>
    <row r="24" spans="1:17" x14ac:dyDescent="0.25">
      <c r="A24">
        <f>Costs!B24</f>
        <v>2038</v>
      </c>
      <c r="B24" s="18">
        <f>Costs!E24</f>
        <v>0</v>
      </c>
      <c r="C24" s="18">
        <f>'Operating Benefits'!K26</f>
        <v>4165495.1667362652</v>
      </c>
      <c r="D24" s="18">
        <f>'Vessel Env. Impacts'!I24</f>
        <v>219053.07256960342</v>
      </c>
      <c r="E24" s="18">
        <f>'Truck Diversion Impacts'!H26</f>
        <v>1895968.75</v>
      </c>
      <c r="F24" s="18">
        <f>'Truck Diversion Impacts'!Z25</f>
        <v>9079773.5294117574</v>
      </c>
      <c r="G24" s="18">
        <f>'Truck Emissions'!U28</f>
        <v>40687.597336501385</v>
      </c>
      <c r="H24" s="18">
        <f>'Truck Diversion Impacts'!AG25</f>
        <v>194852.45696762123</v>
      </c>
      <c r="I24" s="18">
        <f>'Truck Crashes'!J28</f>
        <v>283852.88593749999</v>
      </c>
      <c r="J24" s="18">
        <f>'Truck Diversion Impacts'!AM25</f>
        <v>1359368.3545588225</v>
      </c>
      <c r="K24" s="18">
        <f>'Truck Pavement'!C27</f>
        <v>150304.49547039895</v>
      </c>
      <c r="L24" s="18">
        <f>'Truck Diversion Impacts'!AP25</f>
        <v>719806.57873380964</v>
      </c>
      <c r="M24" s="18">
        <f>'Auto VMT Savings'!D24</f>
        <v>8384.9999999999891</v>
      </c>
      <c r="N24" s="18">
        <f>'Auto safety'!N26</f>
        <v>4758.2505030150687</v>
      </c>
      <c r="O24" s="18">
        <f>'Auto Emissions'!S25</f>
        <v>498.4385732097943</v>
      </c>
      <c r="P24" s="18">
        <f>-447839.68*Discounting!D29</f>
        <v>-447839.68</v>
      </c>
      <c r="Q24" s="18">
        <f t="shared" si="0"/>
        <v>17674964.896798506</v>
      </c>
    </row>
    <row r="25" spans="1:17" x14ac:dyDescent="0.25">
      <c r="A25">
        <f>Costs!B25</f>
        <v>2039</v>
      </c>
      <c r="B25" s="18">
        <f>Costs!E25</f>
        <v>0</v>
      </c>
      <c r="C25" s="18">
        <f>'Operating Benefits'!K27</f>
        <v>4165495.1667362652</v>
      </c>
      <c r="D25" s="18">
        <f>'Vessel Env. Impacts'!I25</f>
        <v>219053.07256960342</v>
      </c>
      <c r="E25" s="18">
        <f>'Truck Diversion Impacts'!H27</f>
        <v>1895968.75</v>
      </c>
      <c r="F25" s="18">
        <f>'Truck Diversion Impacts'!Z26</f>
        <v>9079773.5294117574</v>
      </c>
      <c r="G25" s="18">
        <f>'Truck Emissions'!U29</f>
        <v>40219.398152501381</v>
      </c>
      <c r="H25" s="18">
        <f>'Truck Diversion Impacts'!AG26</f>
        <v>192610.25621543295</v>
      </c>
      <c r="I25" s="18">
        <f>'Truck Crashes'!J29</f>
        <v>283852.88593749999</v>
      </c>
      <c r="J25" s="18">
        <f>'Truck Diversion Impacts'!AM26</f>
        <v>1359368.3545588225</v>
      </c>
      <c r="K25" s="18">
        <f>'Truck Pavement'!C28</f>
        <v>150304.49547039895</v>
      </c>
      <c r="L25" s="18">
        <f>'Truck Diversion Impacts'!AP26</f>
        <v>719806.57873380964</v>
      </c>
      <c r="M25" s="18">
        <f>'Auto VMT Savings'!D25</f>
        <v>8384.9999999999891</v>
      </c>
      <c r="N25" s="18">
        <f>'Auto safety'!N27</f>
        <v>4758.2505030150687</v>
      </c>
      <c r="O25" s="18">
        <f>'Auto Emissions'!S26</f>
        <v>456.80880278872513</v>
      </c>
      <c r="P25" s="18">
        <f>-447839.68*Discounting!D30</f>
        <v>-447839.68</v>
      </c>
      <c r="Q25" s="18">
        <f t="shared" si="0"/>
        <v>17672212.867091894</v>
      </c>
    </row>
    <row r="26" spans="1:17" x14ac:dyDescent="0.25">
      <c r="A26">
        <f>Costs!B26</f>
        <v>2040</v>
      </c>
      <c r="B26" s="18">
        <f>Costs!E26</f>
        <v>0</v>
      </c>
      <c r="C26" s="18">
        <f>'Operating Benefits'!K28</f>
        <v>4165495.1667362652</v>
      </c>
      <c r="D26" s="18">
        <f>'Vessel Env. Impacts'!I26</f>
        <v>219053.07256960342</v>
      </c>
      <c r="E26" s="18">
        <f>'Truck Diversion Impacts'!H28</f>
        <v>1895968.75</v>
      </c>
      <c r="F26" s="18">
        <f>'Truck Diversion Impacts'!Z27</f>
        <v>9079773.5294117574</v>
      </c>
      <c r="G26" s="18">
        <f>'Truck Emissions'!U30</f>
        <v>39751.198968501398</v>
      </c>
      <c r="H26" s="18">
        <f>'Truck Diversion Impacts'!AG27</f>
        <v>190368.05546324479</v>
      </c>
      <c r="I26" s="18">
        <f>'Truck Crashes'!J30</f>
        <v>283852.88593749999</v>
      </c>
      <c r="J26" s="18">
        <f>'Truck Diversion Impacts'!AM27</f>
        <v>1359368.3545588225</v>
      </c>
      <c r="K26" s="18">
        <f>'Truck Pavement'!C29</f>
        <v>150304.49547039895</v>
      </c>
      <c r="L26" s="18">
        <f>'Truck Diversion Impacts'!AP27</f>
        <v>719806.57873380964</v>
      </c>
      <c r="M26" s="18">
        <f>'Auto VMT Savings'!D26</f>
        <v>8384.9999999999891</v>
      </c>
      <c r="N26" s="18">
        <f>'Auto safety'!N28</f>
        <v>4758.2505030150687</v>
      </c>
      <c r="O26" s="18">
        <f>'Auto Emissions'!S27</f>
        <v>416.93733572200279</v>
      </c>
      <c r="P26" s="18">
        <f>-447839.68*Discounting!D31</f>
        <v>-447839.68</v>
      </c>
      <c r="Q26" s="18">
        <f t="shared" si="0"/>
        <v>17669462.595688641</v>
      </c>
    </row>
    <row r="27" spans="1:17" x14ac:dyDescent="0.25">
      <c r="A27">
        <f>Costs!B27</f>
        <v>2041</v>
      </c>
      <c r="B27" s="18">
        <f>Costs!E27</f>
        <v>0</v>
      </c>
      <c r="C27" s="18">
        <f>'Operating Benefits'!K29</f>
        <v>4165495.1667362652</v>
      </c>
      <c r="D27" s="18">
        <f>'Vessel Env. Impacts'!I27</f>
        <v>219053.07256960342</v>
      </c>
      <c r="E27" s="18">
        <f>'Truck Diversion Impacts'!H29</f>
        <v>1895968.75</v>
      </c>
      <c r="F27" s="18">
        <f>'Truck Diversion Impacts'!Z28</f>
        <v>9079773.5294117574</v>
      </c>
      <c r="G27" s="18">
        <f>'Truck Emissions'!U31</f>
        <v>39289.925993820783</v>
      </c>
      <c r="H27" s="18">
        <f>'Truck Diversion Impacts'!AG28</f>
        <v>188159.02425144974</v>
      </c>
      <c r="I27" s="18">
        <f>'Truck Crashes'!J31</f>
        <v>283852.88593749999</v>
      </c>
      <c r="J27" s="18">
        <f>'Truck Diversion Impacts'!AM28</f>
        <v>1359368.3545588225</v>
      </c>
      <c r="K27" s="18">
        <f>'Truck Pavement'!C30</f>
        <v>150304.49547039895</v>
      </c>
      <c r="L27" s="18">
        <f>'Truck Diversion Impacts'!AP28</f>
        <v>719806.57873380964</v>
      </c>
      <c r="M27" s="18">
        <f>'Auto VMT Savings'!D27</f>
        <v>8384.9999999999891</v>
      </c>
      <c r="N27" s="18">
        <f>'Auto safety'!N29</f>
        <v>4758.2505030150687</v>
      </c>
      <c r="O27" s="18">
        <f>'Auto Emissions'!S28</f>
        <v>381.39392517649435</v>
      </c>
      <c r="P27" s="18">
        <f>-447839.68*Discounting!D32</f>
        <v>-447839.68</v>
      </c>
      <c r="Q27" s="18">
        <f t="shared" si="0"/>
        <v>17666756.748091616</v>
      </c>
    </row>
    <row r="28" spans="1:17" x14ac:dyDescent="0.25">
      <c r="A28">
        <f>Costs!B28</f>
        <v>2042</v>
      </c>
      <c r="B28" s="18">
        <f>Costs!E28</f>
        <v>0</v>
      </c>
      <c r="C28" s="18">
        <f>'Operating Benefits'!K30</f>
        <v>4165495.1667362652</v>
      </c>
      <c r="D28" s="18">
        <f>'Vessel Env. Impacts'!I28</f>
        <v>219053.07256960342</v>
      </c>
      <c r="E28" s="18">
        <f>'Truck Diversion Impacts'!H30</f>
        <v>1895968.75</v>
      </c>
      <c r="F28" s="18">
        <f>'Truck Diversion Impacts'!Z29</f>
        <v>9079773.5294117574</v>
      </c>
      <c r="G28" s="18">
        <f>'Truck Emissions'!U32</f>
        <v>38835.460545102309</v>
      </c>
      <c r="H28" s="18">
        <f>'Truck Diversion Impacts'!AG29</f>
        <v>185982.59420675295</v>
      </c>
      <c r="I28" s="18">
        <f>'Truck Crashes'!J32</f>
        <v>283852.88593749999</v>
      </c>
      <c r="J28" s="18">
        <f>'Truck Diversion Impacts'!AM29</f>
        <v>1359368.3545588225</v>
      </c>
      <c r="K28" s="18">
        <f>'Truck Pavement'!C31</f>
        <v>150304.49547039895</v>
      </c>
      <c r="L28" s="18">
        <f>'Truck Diversion Impacts'!AP29</f>
        <v>719806.57873380964</v>
      </c>
      <c r="M28" s="18">
        <f>'Auto VMT Savings'!D28</f>
        <v>8384.9999999999891</v>
      </c>
      <c r="N28" s="18">
        <f>'Auto safety'!N30</f>
        <v>4758.2505030150687</v>
      </c>
      <c r="O28" s="18">
        <f>'Auto Emissions'!S29</f>
        <v>309.43291275332581</v>
      </c>
      <c r="P28" s="18">
        <f>-447839.68*Discounting!D33</f>
        <v>-447839.68</v>
      </c>
      <c r="Q28" s="18">
        <f t="shared" si="0"/>
        <v>17664053.891585778</v>
      </c>
    </row>
    <row r="29" spans="1:17" x14ac:dyDescent="0.25">
      <c r="A29">
        <f>Costs!B29</f>
        <v>2043</v>
      </c>
      <c r="B29" s="18">
        <f>Costs!E29</f>
        <v>0</v>
      </c>
      <c r="C29" s="18">
        <f>'Operating Benefits'!K31</f>
        <v>4165495.1667362652</v>
      </c>
      <c r="D29" s="18">
        <f>'Vessel Env. Impacts'!I29</f>
        <v>219053.07256960342</v>
      </c>
      <c r="E29" s="18">
        <f>'Truck Diversion Impacts'!H31</f>
        <v>1895968.75</v>
      </c>
      <c r="F29" s="18">
        <f>'Truck Diversion Impacts'!Z30</f>
        <v>9079773.5294117574</v>
      </c>
      <c r="G29" s="18">
        <f>'Truck Emissions'!U33</f>
        <v>38387.686135090684</v>
      </c>
      <c r="H29" s="18">
        <f>'Truck Diversion Impacts'!AG30</f>
        <v>183838.20747296762</v>
      </c>
      <c r="I29" s="18">
        <f>'Truck Crashes'!J33</f>
        <v>283852.88593749999</v>
      </c>
      <c r="J29" s="18">
        <f>'Truck Diversion Impacts'!AM30</f>
        <v>1359368.3545588225</v>
      </c>
      <c r="K29" s="18">
        <f>'Truck Pavement'!C32</f>
        <v>150304.49547039895</v>
      </c>
      <c r="L29" s="18">
        <f>'Truck Diversion Impacts'!AP30</f>
        <v>719806.57873380964</v>
      </c>
      <c r="M29" s="18">
        <f>'Auto VMT Savings'!D29</f>
        <v>8384.9999999999891</v>
      </c>
      <c r="N29" s="18">
        <f>'Auto safety'!N31</f>
        <v>4758.2505030150687</v>
      </c>
      <c r="O29" s="18">
        <f>'Auto Emissions'!S30</f>
        <v>247.34381365353224</v>
      </c>
      <c r="P29" s="18">
        <f>-447839.68*Discounting!D34</f>
        <v>-447839.68</v>
      </c>
      <c r="Q29" s="18">
        <f t="shared" si="0"/>
        <v>17661399.641342882</v>
      </c>
    </row>
    <row r="30" spans="1:17" x14ac:dyDescent="0.25">
      <c r="A30">
        <f>Costs!B30</f>
        <v>2044</v>
      </c>
      <c r="B30" s="18">
        <f>Costs!E30</f>
        <v>0</v>
      </c>
      <c r="C30" s="18">
        <f>'Operating Benefits'!K32</f>
        <v>4165495.1667362652</v>
      </c>
      <c r="D30" s="18">
        <f>'Vessel Env. Impacts'!I30</f>
        <v>219053.07256960342</v>
      </c>
      <c r="E30" s="18">
        <f>'Truck Diversion Impacts'!H32</f>
        <v>1895968.75</v>
      </c>
      <c r="F30" s="18">
        <f>'Truck Diversion Impacts'!Z31</f>
        <v>9079773.5294117574</v>
      </c>
      <c r="G30" s="18">
        <f>'Truck Emissions'!U34</f>
        <v>37946.488430577519</v>
      </c>
      <c r="H30" s="18">
        <f>'Truck Diversion Impacts'!AG31</f>
        <v>181725.316509614</v>
      </c>
      <c r="I30" s="18">
        <f>'Truck Crashes'!J34</f>
        <v>283852.88593749999</v>
      </c>
      <c r="J30" s="18">
        <f>'Truck Diversion Impacts'!AM31</f>
        <v>1359368.3545588225</v>
      </c>
      <c r="K30" s="18">
        <f>'Truck Pavement'!C33</f>
        <v>150304.49547039895</v>
      </c>
      <c r="L30" s="18">
        <f>'Truck Diversion Impacts'!AP31</f>
        <v>719806.57873380964</v>
      </c>
      <c r="M30" s="18">
        <f>'Auto VMT Savings'!D30</f>
        <v>8384.9999999999891</v>
      </c>
      <c r="N30" s="18">
        <f>'Auto safety'!N32</f>
        <v>4758.2505030150687</v>
      </c>
      <c r="O30" s="18">
        <f>'Auto Emissions'!S31</f>
        <v>223.54662222509756</v>
      </c>
      <c r="P30" s="18">
        <f>-447839.68*Discounting!D35</f>
        <v>-447839.68</v>
      </c>
      <c r="Q30" s="18">
        <f t="shared" si="0"/>
        <v>17658821.755483586</v>
      </c>
    </row>
    <row r="31" spans="1:17" x14ac:dyDescent="0.25">
      <c r="A31">
        <f>Costs!B31</f>
        <v>2045</v>
      </c>
      <c r="B31" s="18">
        <f>Costs!E31</f>
        <v>0</v>
      </c>
      <c r="C31" s="18">
        <f>'Operating Benefits'!K33</f>
        <v>4165495.1667362652</v>
      </c>
      <c r="D31" s="18">
        <f>'Vessel Env. Impacts'!I31</f>
        <v>219053.07256960342</v>
      </c>
      <c r="E31" s="18">
        <f>'Truck Diversion Impacts'!H33</f>
        <v>1895968.75</v>
      </c>
      <c r="F31" s="18">
        <f>'Truck Diversion Impacts'!Z32</f>
        <v>9079773.5294117574</v>
      </c>
      <c r="G31" s="18">
        <f>'Truck Emissions'!U35</f>
        <v>37511.755211163232</v>
      </c>
      <c r="H31" s="18">
        <f>'Truck Diversion Impacts'!AG32</f>
        <v>179643.38389443047</v>
      </c>
      <c r="I31" s="18">
        <f>'Truck Crashes'!J35</f>
        <v>283852.88593749999</v>
      </c>
      <c r="J31" s="18">
        <f>'Truck Diversion Impacts'!AM32</f>
        <v>1359368.3545588225</v>
      </c>
      <c r="K31" s="18">
        <f>'Truck Pavement'!C34</f>
        <v>150304.49547039895</v>
      </c>
      <c r="L31" s="18">
        <f>'Truck Diversion Impacts'!AP32</f>
        <v>719806.57873380964</v>
      </c>
      <c r="M31" s="18">
        <f>'Auto VMT Savings'!D31</f>
        <v>8384.9999999999891</v>
      </c>
      <c r="N31" s="18">
        <f>'Auto safety'!N33</f>
        <v>4758.2505030150687</v>
      </c>
      <c r="O31" s="18">
        <f>'Auto Emissions'!S32</f>
        <v>188.88825440795753</v>
      </c>
      <c r="P31" s="18">
        <f>-447839.68*Discounting!D36</f>
        <v>-447839.68</v>
      </c>
      <c r="Q31" s="18">
        <f t="shared" si="0"/>
        <v>17656270.431281172</v>
      </c>
    </row>
    <row r="32" spans="1:17" x14ac:dyDescent="0.25">
      <c r="A32">
        <f>Costs!B32</f>
        <v>2046</v>
      </c>
      <c r="B32" s="18">
        <f>Costs!E32</f>
        <v>0</v>
      </c>
      <c r="C32" s="18">
        <f>'Operating Benefits'!K34</f>
        <v>4165495.1667362652</v>
      </c>
      <c r="D32" s="18">
        <f>'Vessel Env. Impacts'!I32</f>
        <v>219053.07256960342</v>
      </c>
      <c r="E32" s="18">
        <f>'Truck Diversion Impacts'!H34</f>
        <v>1895968.75</v>
      </c>
      <c r="F32" s="18">
        <f>'Truck Diversion Impacts'!Z33</f>
        <v>9079773.5294117574</v>
      </c>
      <c r="G32" s="18">
        <f>'Truck Emissions'!U36</f>
        <v>37511.755211163232</v>
      </c>
      <c r="H32" s="18">
        <f>'Truck Diversion Impacts'!AG33</f>
        <v>179643.38389443047</v>
      </c>
      <c r="I32" s="18">
        <f>'Truck Crashes'!J36</f>
        <v>283852.88593749999</v>
      </c>
      <c r="J32" s="18">
        <f>'Truck Diversion Impacts'!AM33</f>
        <v>1359368.3545588225</v>
      </c>
      <c r="K32" s="18">
        <f>'Truck Pavement'!C35</f>
        <v>150304.49547039895</v>
      </c>
      <c r="L32" s="18">
        <f>'Truck Diversion Impacts'!AP33</f>
        <v>719806.57873380964</v>
      </c>
      <c r="M32" s="18">
        <f>'Auto VMT Savings'!D32</f>
        <v>8384.9999999999891</v>
      </c>
      <c r="N32" s="18">
        <f>'Auto safety'!N34</f>
        <v>4758.2505030150687</v>
      </c>
      <c r="O32" s="18">
        <f>'Auto Emissions'!S33</f>
        <v>148.03332947066485</v>
      </c>
      <c r="P32" s="18">
        <f>-447839.68*Discounting!D37</f>
        <v>-447839.68</v>
      </c>
      <c r="Q32" s="18">
        <f t="shared" si="0"/>
        <v>17656229.576356236</v>
      </c>
    </row>
    <row r="33" spans="1:17" x14ac:dyDescent="0.25">
      <c r="A33">
        <f>Costs!B33</f>
        <v>2047</v>
      </c>
      <c r="B33" s="18">
        <f>Costs!E33</f>
        <v>49868866.355513029</v>
      </c>
      <c r="C33" s="18">
        <f>'Operating Benefits'!K35</f>
        <v>4165495.1667362652</v>
      </c>
      <c r="D33" s="18">
        <f>'Vessel Env. Impacts'!I33</f>
        <v>219053.07256960342</v>
      </c>
      <c r="E33" s="18">
        <f>'Truck Diversion Impacts'!H35</f>
        <v>1895968.75</v>
      </c>
      <c r="F33" s="18">
        <f>'Truck Diversion Impacts'!Z34</f>
        <v>9079773.5294117574</v>
      </c>
      <c r="G33" s="18">
        <f>'Truck Emissions'!U37</f>
        <v>37511.755211163232</v>
      </c>
      <c r="H33" s="18">
        <f>'Truck Diversion Impacts'!AG34</f>
        <v>179643.38389443047</v>
      </c>
      <c r="I33" s="18">
        <f>'Truck Crashes'!J37</f>
        <v>283852.88593749999</v>
      </c>
      <c r="J33" s="18">
        <f>'Truck Diversion Impacts'!AM34</f>
        <v>1359368.3545588225</v>
      </c>
      <c r="K33" s="18">
        <f>'Truck Pavement'!C36</f>
        <v>150304.49547039895</v>
      </c>
      <c r="L33" s="18">
        <f>'Truck Diversion Impacts'!AP34</f>
        <v>719806.57873380964</v>
      </c>
      <c r="M33" s="18">
        <f>'Auto VMT Savings'!D33</f>
        <v>8384.9999999999891</v>
      </c>
      <c r="N33" s="18">
        <f>'Auto safety'!N35</f>
        <v>4758.2505030150687</v>
      </c>
      <c r="O33" s="18">
        <f>'Auto Emissions'!S34</f>
        <v>128.3290482259064</v>
      </c>
      <c r="P33" s="18">
        <f>-447839.68*Discounting!D38</f>
        <v>-447839.68</v>
      </c>
      <c r="Q33" s="18">
        <f t="shared" si="0"/>
        <v>17656209.872074991</v>
      </c>
    </row>
    <row r="34" spans="1:17" x14ac:dyDescent="0.25">
      <c r="A34">
        <f>Costs!B34</f>
        <v>2048</v>
      </c>
      <c r="B34" s="18">
        <f>Costs!E34</f>
        <v>0</v>
      </c>
      <c r="C34" s="18">
        <f>'Operating Benefits'!K36</f>
        <v>0</v>
      </c>
      <c r="D34" s="18">
        <f>'Vessel Env. Impacts'!I34</f>
        <v>0</v>
      </c>
      <c r="E34" s="18">
        <f>'Truck Diversion Impacts'!H36</f>
        <v>0</v>
      </c>
      <c r="F34" s="18">
        <f>'Truck Diversion Impacts'!Z35</f>
        <v>0</v>
      </c>
      <c r="G34" s="18">
        <f>'Truck Emissions'!U38</f>
        <v>0</v>
      </c>
      <c r="H34" s="18">
        <f>'Truck Diversion Impacts'!AG35</f>
        <v>0</v>
      </c>
      <c r="I34" s="18">
        <f>'Truck Crashes'!J38</f>
        <v>0</v>
      </c>
      <c r="J34" s="18">
        <f>'Truck Diversion Impacts'!AM35</f>
        <v>0</v>
      </c>
      <c r="K34" s="18">
        <f>'Truck Pavement'!C37</f>
        <v>0</v>
      </c>
      <c r="L34" s="18">
        <f>'Truck Diversion Impacts'!AP35</f>
        <v>0</v>
      </c>
      <c r="M34" s="18">
        <f>'Auto VMT Savings'!D34</f>
        <v>0</v>
      </c>
      <c r="N34" s="18">
        <f>'Auto safety'!N36</f>
        <v>0</v>
      </c>
      <c r="O34" s="18">
        <f>'Auto Emissions'!S35</f>
        <v>0</v>
      </c>
      <c r="P34" s="18">
        <f>-447839.68*Discounting!D39</f>
        <v>0</v>
      </c>
      <c r="Q34" s="18">
        <f t="shared" si="0"/>
        <v>0</v>
      </c>
    </row>
    <row r="35" spans="1:17" x14ac:dyDescent="0.25">
      <c r="A35">
        <f>Costs!B35</f>
        <v>2049</v>
      </c>
      <c r="B35" s="18">
        <f>Costs!E35</f>
        <v>0</v>
      </c>
      <c r="C35" s="18">
        <f>'Operating Benefits'!K37</f>
        <v>0</v>
      </c>
      <c r="D35" s="18">
        <f>'Vessel Env. Impacts'!I35</f>
        <v>0</v>
      </c>
      <c r="E35" s="18">
        <f>'Truck Diversion Impacts'!H37</f>
        <v>0</v>
      </c>
      <c r="F35" s="18">
        <f>'Truck Diversion Impacts'!Z36</f>
        <v>0</v>
      </c>
      <c r="G35" s="18">
        <f>'Truck Emissions'!U39</f>
        <v>0</v>
      </c>
      <c r="H35" s="18">
        <f>'Truck Diversion Impacts'!AG36</f>
        <v>0</v>
      </c>
      <c r="I35" s="18">
        <f>'Truck Crashes'!J39</f>
        <v>0</v>
      </c>
      <c r="J35" s="18">
        <f>'Truck Diversion Impacts'!AM36</f>
        <v>0</v>
      </c>
      <c r="K35" s="18">
        <f>'Truck Pavement'!C38</f>
        <v>0</v>
      </c>
      <c r="L35" s="18">
        <f>'Truck Diversion Impacts'!AP36</f>
        <v>0</v>
      </c>
      <c r="M35" s="18">
        <f>'Auto VMT Savings'!D35</f>
        <v>0</v>
      </c>
      <c r="N35" s="18">
        <f>'Auto safety'!N37</f>
        <v>0</v>
      </c>
      <c r="O35" s="18">
        <f>'Auto Emissions'!S36</f>
        <v>0</v>
      </c>
      <c r="P35" s="18">
        <f>-447839.68*Discounting!D40</f>
        <v>0</v>
      </c>
      <c r="Q35" s="18">
        <f t="shared" si="0"/>
        <v>0</v>
      </c>
    </row>
    <row r="36" spans="1:17" x14ac:dyDescent="0.25">
      <c r="A36">
        <f>Costs!B36</f>
        <v>2050</v>
      </c>
      <c r="B36" s="18">
        <f>Costs!E36</f>
        <v>0</v>
      </c>
      <c r="C36" s="18">
        <f>'Operating Benefits'!K38</f>
        <v>0</v>
      </c>
      <c r="D36" s="18">
        <f>'Vessel Env. Impacts'!I36</f>
        <v>0</v>
      </c>
      <c r="E36" s="18">
        <f>'Truck Diversion Impacts'!H38</f>
        <v>0</v>
      </c>
      <c r="F36" s="18">
        <f>'Truck Diversion Impacts'!Z37</f>
        <v>0</v>
      </c>
      <c r="G36" s="18">
        <f>'Truck Emissions'!U40</f>
        <v>0</v>
      </c>
      <c r="H36" s="18">
        <f>'Truck Diversion Impacts'!AG37</f>
        <v>0</v>
      </c>
      <c r="I36" s="18">
        <f>'Truck Crashes'!J40</f>
        <v>0</v>
      </c>
      <c r="J36" s="18">
        <f>'Truck Diversion Impacts'!AM37</f>
        <v>0</v>
      </c>
      <c r="K36" s="18">
        <f>'Truck Pavement'!C39</f>
        <v>0</v>
      </c>
      <c r="L36" s="18">
        <f>'Truck Diversion Impacts'!AP37</f>
        <v>0</v>
      </c>
      <c r="M36" s="18">
        <f>'Auto VMT Savings'!D36</f>
        <v>0</v>
      </c>
      <c r="N36" s="18">
        <f>'Auto safety'!N38</f>
        <v>0</v>
      </c>
      <c r="O36" s="18">
        <f>'Auto Emissions'!S37</f>
        <v>0</v>
      </c>
      <c r="P36" s="18">
        <f>-447839.68*Discounting!D41</f>
        <v>0</v>
      </c>
      <c r="Q36" s="18">
        <f t="shared" si="0"/>
        <v>0</v>
      </c>
    </row>
    <row r="37" spans="1:17" x14ac:dyDescent="0.25">
      <c r="A37">
        <f>Costs!B37</f>
        <v>2051</v>
      </c>
      <c r="B37" s="18">
        <f>Costs!E37</f>
        <v>0</v>
      </c>
      <c r="C37" s="18">
        <f>'Operating Benefits'!K39</f>
        <v>0</v>
      </c>
      <c r="D37" s="18">
        <f>'Vessel Env. Impacts'!I37</f>
        <v>0</v>
      </c>
      <c r="E37" s="18">
        <f>'Truck Diversion Impacts'!H39</f>
        <v>0</v>
      </c>
      <c r="F37" s="18">
        <f>'Truck Diversion Impacts'!Z38</f>
        <v>0</v>
      </c>
      <c r="G37" s="18">
        <f>'Truck Emissions'!U41</f>
        <v>0</v>
      </c>
      <c r="H37" s="18">
        <f>'Truck Diversion Impacts'!AG38</f>
        <v>0</v>
      </c>
      <c r="I37" s="18">
        <f>'Truck Crashes'!J41</f>
        <v>0</v>
      </c>
      <c r="J37" s="18">
        <f>'Truck Diversion Impacts'!AM38</f>
        <v>0</v>
      </c>
      <c r="K37" s="18">
        <f>'Truck Pavement'!C40</f>
        <v>0</v>
      </c>
      <c r="L37" s="18">
        <f>'Truck Diversion Impacts'!AP38</f>
        <v>0</v>
      </c>
      <c r="M37" s="18">
        <f>'Auto VMT Savings'!D37</f>
        <v>0</v>
      </c>
      <c r="N37" s="18">
        <f>'Auto safety'!N39</f>
        <v>0</v>
      </c>
      <c r="O37" s="18">
        <f>'Auto Emissions'!S38</f>
        <v>0</v>
      </c>
      <c r="P37" s="18">
        <f>-447839.68*Discounting!D42</f>
        <v>0</v>
      </c>
      <c r="Q37" s="18">
        <f t="shared" si="0"/>
        <v>0</v>
      </c>
    </row>
    <row r="38" spans="1:17" x14ac:dyDescent="0.25">
      <c r="A38" t="s">
        <v>52</v>
      </c>
      <c r="B38" s="18">
        <f>SUM(B3:B37)</f>
        <v>-46032799.712781258</v>
      </c>
      <c r="C38" s="18">
        <f t="shared" ref="C38:Q38" si="1">SUM(C3:C37)</f>
        <v>103678955.52614819</v>
      </c>
      <c r="D38" s="18">
        <f t="shared" si="1"/>
        <v>5520692.1865457734</v>
      </c>
      <c r="E38" s="18">
        <f t="shared" si="1"/>
        <v>44077029.803001948</v>
      </c>
      <c r="F38" s="18">
        <f>SUM(F3:F37)</f>
        <v>189929596.09083635</v>
      </c>
      <c r="G38" s="18">
        <f t="shared" si="1"/>
        <v>1220989.7716478035</v>
      </c>
      <c r="H38" s="18">
        <f>SUM(H3:H37)</f>
        <v>4757313.4610848455</v>
      </c>
      <c r="I38" s="18">
        <f t="shared" si="1"/>
        <v>6598944.2669533947</v>
      </c>
      <c r="J38" s="18">
        <f>SUM(J3:J37)</f>
        <v>28435101.567643236</v>
      </c>
      <c r="K38" s="18">
        <f t="shared" si="1"/>
        <v>3096147.6041890392</v>
      </c>
      <c r="L38" s="18">
        <f>SUM(L3:L37)</f>
        <v>15056826.287527047</v>
      </c>
      <c r="M38" s="18">
        <f t="shared" si="1"/>
        <v>403133.64210589207</v>
      </c>
      <c r="N38" s="18">
        <f t="shared" si="1"/>
        <v>228766.94756501596</v>
      </c>
      <c r="O38" s="18">
        <f t="shared" si="1"/>
        <v>71068.919021596448</v>
      </c>
      <c r="P38" s="18">
        <f>SUM(P3:P37)</f>
        <v>-10748152.319999997</v>
      </c>
      <c r="Q38" s="18">
        <f t="shared" si="1"/>
        <v>392326413.75427008</v>
      </c>
    </row>
    <row r="40" spans="1:17" x14ac:dyDescent="0.25">
      <c r="Q40" s="27"/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E16" workbookViewId="0">
      <selection activeCell="C40" sqref="C40"/>
    </sheetView>
  </sheetViews>
  <sheetFormatPr defaultRowHeight="15" x14ac:dyDescent="0.25"/>
  <cols>
    <col min="2" max="6" width="15.140625" customWidth="1"/>
    <col min="7" max="7" width="21.28515625" customWidth="1"/>
    <col min="8" max="8" width="20.28515625" customWidth="1"/>
    <col min="9" max="9" width="16.85546875" customWidth="1"/>
    <col min="10" max="10" width="21.7109375" customWidth="1"/>
    <col min="11" max="11" width="19.85546875" customWidth="1"/>
    <col min="12" max="17" width="15.140625" customWidth="1"/>
    <col min="18" max="18" width="14" customWidth="1"/>
    <col min="19" max="19" width="16.42578125" customWidth="1"/>
  </cols>
  <sheetData>
    <row r="1" spans="1:19" x14ac:dyDescent="0.25">
      <c r="B1" t="s">
        <v>10</v>
      </c>
      <c r="C1" s="84" t="s">
        <v>165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t="s">
        <v>8</v>
      </c>
      <c r="S1" t="s">
        <v>8</v>
      </c>
    </row>
    <row r="2" spans="1:19" x14ac:dyDescent="0.25">
      <c r="A2" t="str">
        <f>Costs!B2</f>
        <v>YEAR</v>
      </c>
      <c r="B2" t="s">
        <v>9</v>
      </c>
      <c r="C2" s="85" t="s">
        <v>100</v>
      </c>
      <c r="D2" s="85" t="s">
        <v>101</v>
      </c>
      <c r="E2" s="85" t="s">
        <v>226</v>
      </c>
      <c r="F2" s="85" t="s">
        <v>230</v>
      </c>
      <c r="G2" s="85" t="s">
        <v>227</v>
      </c>
      <c r="H2" s="85" t="s">
        <v>231</v>
      </c>
      <c r="I2" s="85" t="s">
        <v>228</v>
      </c>
      <c r="J2" s="85" t="s">
        <v>232</v>
      </c>
      <c r="K2" s="85" t="s">
        <v>229</v>
      </c>
      <c r="L2" s="85" t="s">
        <v>233</v>
      </c>
      <c r="M2" s="85" t="s">
        <v>102</v>
      </c>
      <c r="N2" s="85" t="s">
        <v>103</v>
      </c>
      <c r="O2" s="85" t="s">
        <v>104</v>
      </c>
      <c r="P2" s="85" t="s">
        <v>218</v>
      </c>
      <c r="Q2" s="85" t="s">
        <v>52</v>
      </c>
      <c r="R2" t="s">
        <v>9</v>
      </c>
      <c r="S2" t="s">
        <v>11</v>
      </c>
    </row>
    <row r="3" spans="1:19" x14ac:dyDescent="0.25">
      <c r="A3">
        <f>Costs!B3</f>
        <v>2017</v>
      </c>
      <c r="B3" s="23">
        <f>Costs!E3</f>
        <v>0</v>
      </c>
      <c r="C3" s="23">
        <f>'Operating Benefits'!L5</f>
        <v>0</v>
      </c>
      <c r="D3" s="23">
        <f>'Vessel Env. Impacts'!J3</f>
        <v>0</v>
      </c>
      <c r="E3" s="23">
        <f>'Truck Diversion Impacts'!I5</f>
        <v>0</v>
      </c>
      <c r="F3" s="23">
        <f>'Truck Diversion Impacts'!AA4</f>
        <v>0</v>
      </c>
      <c r="G3" s="23">
        <f>'Truck Emissions'!W7</f>
        <v>0</v>
      </c>
      <c r="H3" s="23">
        <f>'Truck Diversion Impacts'!AH4</f>
        <v>0</v>
      </c>
      <c r="I3" s="23">
        <f>'Truck Crashes'!L7</f>
        <v>0</v>
      </c>
      <c r="J3" s="23">
        <f>'Truck Diversion Impacts'!AN4</f>
        <v>0</v>
      </c>
      <c r="K3" s="23">
        <f>'Truck Pavement'!D6</f>
        <v>0</v>
      </c>
      <c r="L3" s="23">
        <f>'Truck Diversion Impacts'!AQ4</f>
        <v>0</v>
      </c>
      <c r="M3" s="23">
        <f>'Auto VMT Savings'!E3</f>
        <v>0</v>
      </c>
      <c r="N3" s="23">
        <f>'Auto safety'!O5</f>
        <v>0</v>
      </c>
      <c r="O3" s="23">
        <f>'Auto Emissions'!T4</f>
        <v>0</v>
      </c>
      <c r="P3" s="23">
        <f>'Summary Undisc'!P3*Discounting!C8</f>
        <v>0</v>
      </c>
      <c r="Q3" s="23">
        <f>SUM(C3:P3)</f>
        <v>0</v>
      </c>
      <c r="R3" s="23">
        <f>Costs!F3</f>
        <v>0</v>
      </c>
      <c r="S3" s="23">
        <f>'Operating Benefits'!L5+'Vessel Env. Impacts'!J3+'Truck Diversion Impacts'!I5+'Truck Emissions'!W7+'Truck Crashes'!L7+'Truck Pavement'!D6+'Auto VMT Savings'!E3+'Auto safety'!O5+'Auto Emissions'!T4+P3+'Truck Diversion Impacts'!AA4+'Truck Diversion Impacts'!AH4+'Truck Diversion Impacts'!AN4+'Truck Diversion Impacts'!AQ4</f>
        <v>0</v>
      </c>
    </row>
    <row r="4" spans="1:19" x14ac:dyDescent="0.25">
      <c r="A4">
        <f>Costs!B4</f>
        <v>2018</v>
      </c>
      <c r="B4" s="23">
        <f>Costs!E4</f>
        <v>0</v>
      </c>
      <c r="C4" s="23">
        <f>'Operating Benefits'!L6</f>
        <v>0</v>
      </c>
      <c r="D4" s="23">
        <f>'Vessel Env. Impacts'!J4</f>
        <v>0</v>
      </c>
      <c r="E4" s="23">
        <f>'Truck Diversion Impacts'!I6</f>
        <v>0</v>
      </c>
      <c r="F4" s="23">
        <f>'Truck Diversion Impacts'!AA5</f>
        <v>0</v>
      </c>
      <c r="G4" s="23">
        <f>'Truck Emissions'!W8</f>
        <v>0</v>
      </c>
      <c r="H4" s="23">
        <f>'Truck Diversion Impacts'!AH5</f>
        <v>0</v>
      </c>
      <c r="I4" s="23">
        <f>'Truck Crashes'!L8</f>
        <v>0</v>
      </c>
      <c r="J4" s="23">
        <f>'Truck Diversion Impacts'!AN5</f>
        <v>0</v>
      </c>
      <c r="K4" s="23">
        <f>'Truck Pavement'!D7</f>
        <v>0</v>
      </c>
      <c r="L4" s="23">
        <f>'Truck Diversion Impacts'!AQ5</f>
        <v>0</v>
      </c>
      <c r="M4" s="23">
        <f>'Auto VMT Savings'!E4</f>
        <v>0</v>
      </c>
      <c r="N4" s="23">
        <f>'Auto safety'!O6</f>
        <v>0</v>
      </c>
      <c r="O4" s="23">
        <f>'Auto Emissions'!T5</f>
        <v>0</v>
      </c>
      <c r="P4" s="23">
        <f>'Summary Undisc'!P4*Discounting!C9</f>
        <v>0</v>
      </c>
      <c r="Q4" s="23">
        <f t="shared" ref="Q4:Q37" si="0">SUM(C4:P4)</f>
        <v>0</v>
      </c>
      <c r="R4" s="23">
        <f>Costs!F4</f>
        <v>0</v>
      </c>
      <c r="S4" s="23">
        <f>'Operating Benefits'!L6+'Vessel Env. Impacts'!J4+'Truck Diversion Impacts'!I6+'Truck Emissions'!W8+'Truck Crashes'!L8+'Truck Pavement'!D7+'Auto VMT Savings'!E4+'Auto safety'!O6+'Auto Emissions'!T5+P4+'Truck Diversion Impacts'!AA5+'Truck Diversion Impacts'!AH5+'Truck Diversion Impacts'!AN5+'Truck Diversion Impacts'!AQ5</f>
        <v>0</v>
      </c>
    </row>
    <row r="5" spans="1:19" x14ac:dyDescent="0.25">
      <c r="A5">
        <f>Costs!B5</f>
        <v>2019</v>
      </c>
      <c r="B5" s="23">
        <f>Costs!E5</f>
        <v>-191667.77656428999</v>
      </c>
      <c r="C5" s="23">
        <f>'Operating Benefits'!L7</f>
        <v>0</v>
      </c>
      <c r="D5" s="23">
        <f>'Vessel Env. Impacts'!J5</f>
        <v>0</v>
      </c>
      <c r="E5" s="23">
        <f>'Truck Diversion Impacts'!I7</f>
        <v>0</v>
      </c>
      <c r="F5" s="23">
        <f>'Truck Diversion Impacts'!AA6</f>
        <v>0</v>
      </c>
      <c r="G5" s="23">
        <f>'Truck Emissions'!W9</f>
        <v>0</v>
      </c>
      <c r="H5" s="23">
        <f>'Truck Diversion Impacts'!AH6</f>
        <v>0</v>
      </c>
      <c r="I5" s="23">
        <f>'Truck Crashes'!L9</f>
        <v>0</v>
      </c>
      <c r="J5" s="23">
        <f>'Truck Diversion Impacts'!AN6</f>
        <v>0</v>
      </c>
      <c r="K5" s="23">
        <f>'Truck Pavement'!D8</f>
        <v>0</v>
      </c>
      <c r="L5" s="23">
        <f>'Truck Diversion Impacts'!AQ6</f>
        <v>0</v>
      </c>
      <c r="M5" s="23">
        <f>'Auto VMT Savings'!E5</f>
        <v>0</v>
      </c>
      <c r="N5" s="23">
        <f>'Auto safety'!O7</f>
        <v>0</v>
      </c>
      <c r="O5" s="23">
        <f>'Auto Emissions'!T6</f>
        <v>0</v>
      </c>
      <c r="P5" s="23">
        <f>'Summary Undisc'!P5*Discounting!C10</f>
        <v>0</v>
      </c>
      <c r="Q5" s="23">
        <f t="shared" si="0"/>
        <v>0</v>
      </c>
      <c r="R5" s="23">
        <f>Costs!F5</f>
        <v>-167410.05901326751</v>
      </c>
      <c r="S5" s="23">
        <f>'Operating Benefits'!L7+'Vessel Env. Impacts'!J5+'Truck Diversion Impacts'!I7+'Truck Emissions'!W9+'Truck Crashes'!L9+'Truck Pavement'!D8+'Auto VMT Savings'!E5+'Auto safety'!O7+'Auto Emissions'!T6+P5+'Truck Diversion Impacts'!AA6+'Truck Diversion Impacts'!AH6+'Truck Diversion Impacts'!AN6+'Truck Diversion Impacts'!AQ6</f>
        <v>0</v>
      </c>
    </row>
    <row r="6" spans="1:19" x14ac:dyDescent="0.25">
      <c r="A6">
        <f>Costs!B6</f>
        <v>2020</v>
      </c>
      <c r="B6" s="23">
        <f>Costs!E6</f>
        <v>-2348490.7828084999</v>
      </c>
      <c r="C6" s="23">
        <f>'Operating Benefits'!L8</f>
        <v>0</v>
      </c>
      <c r="D6" s="23">
        <f>'Vessel Env. Impacts'!J6</f>
        <v>0</v>
      </c>
      <c r="E6" s="23">
        <f>'Truck Diversion Impacts'!I8</f>
        <v>0</v>
      </c>
      <c r="F6" s="23">
        <f>'Truck Diversion Impacts'!AA7</f>
        <v>0</v>
      </c>
      <c r="G6" s="23">
        <f>'Truck Emissions'!W10</f>
        <v>0</v>
      </c>
      <c r="H6" s="23">
        <f>'Truck Diversion Impacts'!AH7</f>
        <v>0</v>
      </c>
      <c r="I6" s="23">
        <f>'Truck Crashes'!L10</f>
        <v>0</v>
      </c>
      <c r="J6" s="23">
        <f>'Truck Diversion Impacts'!AN7</f>
        <v>0</v>
      </c>
      <c r="K6" s="23">
        <f>'Truck Pavement'!D9</f>
        <v>0</v>
      </c>
      <c r="L6" s="23">
        <f>'Truck Diversion Impacts'!AQ7</f>
        <v>0</v>
      </c>
      <c r="M6" s="23">
        <f>'Auto VMT Savings'!E6</f>
        <v>0</v>
      </c>
      <c r="N6" s="23">
        <f>'Auto safety'!O8</f>
        <v>0</v>
      </c>
      <c r="O6" s="23">
        <f>'Auto Emissions'!T7</f>
        <v>0</v>
      </c>
      <c r="P6" s="23">
        <f>'Summary Undisc'!P6*Discounting!C11</f>
        <v>0</v>
      </c>
      <c r="Q6" s="23">
        <f t="shared" si="0"/>
        <v>0</v>
      </c>
      <c r="R6" s="23">
        <f>Costs!F6</f>
        <v>-1917068.0399043132</v>
      </c>
      <c r="S6" s="23">
        <f>'Operating Benefits'!L8+'Vessel Env. Impacts'!J6+'Truck Diversion Impacts'!I8+'Truck Emissions'!W10+'Truck Crashes'!L10+'Truck Pavement'!D9+'Auto VMT Savings'!E6+'Auto safety'!O8+'Auto Emissions'!T7+P6+'Truck Diversion Impacts'!AA7+'Truck Diversion Impacts'!AH7+'Truck Diversion Impacts'!AN7+'Truck Diversion Impacts'!AQ7</f>
        <v>0</v>
      </c>
    </row>
    <row r="7" spans="1:19" x14ac:dyDescent="0.25">
      <c r="A7">
        <f>Costs!B7</f>
        <v>2021</v>
      </c>
      <c r="B7" s="23">
        <f>Costs!E7</f>
        <v>-12280044.430462699</v>
      </c>
      <c r="C7" s="23">
        <f>'Operating Benefits'!L9</f>
        <v>0</v>
      </c>
      <c r="D7" s="23">
        <f>'Vessel Env. Impacts'!J7</f>
        <v>0</v>
      </c>
      <c r="E7" s="23">
        <f>'Truck Diversion Impacts'!I9</f>
        <v>0</v>
      </c>
      <c r="F7" s="23">
        <f>'Truck Diversion Impacts'!AA8</f>
        <v>0</v>
      </c>
      <c r="G7" s="23">
        <f>'Truck Emissions'!W11</f>
        <v>0</v>
      </c>
      <c r="H7" s="23">
        <f>'Truck Diversion Impacts'!AH8</f>
        <v>0</v>
      </c>
      <c r="I7" s="23">
        <f>'Truck Crashes'!L11</f>
        <v>0</v>
      </c>
      <c r="J7" s="23">
        <f>'Truck Diversion Impacts'!AN8</f>
        <v>0</v>
      </c>
      <c r="K7" s="23">
        <f>'Truck Pavement'!D10</f>
        <v>0</v>
      </c>
      <c r="L7" s="23">
        <f>'Truck Diversion Impacts'!AQ8</f>
        <v>0</v>
      </c>
      <c r="M7" s="23">
        <f>'Auto VMT Savings'!E7</f>
        <v>0</v>
      </c>
      <c r="N7" s="23">
        <f>'Auto safety'!O9</f>
        <v>0</v>
      </c>
      <c r="O7" s="23">
        <f>'Auto Emissions'!T8</f>
        <v>0</v>
      </c>
      <c r="P7" s="23">
        <f>'Summary Undisc'!P7*Discounting!C12</f>
        <v>0</v>
      </c>
      <c r="Q7" s="23">
        <f t="shared" si="0"/>
        <v>0</v>
      </c>
      <c r="R7" s="23">
        <f>Costs!F7</f>
        <v>-9368387.0997308716</v>
      </c>
      <c r="S7" s="23">
        <f>'Operating Benefits'!L9+'Vessel Env. Impacts'!J7+'Truck Diversion Impacts'!I9+'Truck Emissions'!W11+'Truck Crashes'!L11+'Truck Pavement'!D10+'Auto VMT Savings'!E7+'Auto safety'!O9+'Auto Emissions'!T8+P7+'Truck Diversion Impacts'!AA8+'Truck Diversion Impacts'!AH8+'Truck Diversion Impacts'!AN8+'Truck Diversion Impacts'!AQ8</f>
        <v>0</v>
      </c>
    </row>
    <row r="8" spans="1:19" x14ac:dyDescent="0.25">
      <c r="A8">
        <f>Costs!B8</f>
        <v>2022</v>
      </c>
      <c r="B8" s="23">
        <f>Costs!E8</f>
        <v>-46735168.037741899</v>
      </c>
      <c r="C8" s="23">
        <f>'Operating Benefits'!L10</f>
        <v>0</v>
      </c>
      <c r="D8" s="23">
        <f>'Vessel Env. Impacts'!J8</f>
        <v>0</v>
      </c>
      <c r="E8" s="23">
        <f>'Truck Diversion Impacts'!I10</f>
        <v>0</v>
      </c>
      <c r="F8" s="23">
        <f>'Truck Diversion Impacts'!AA9</f>
        <v>0</v>
      </c>
      <c r="G8" s="23">
        <f>'Truck Emissions'!W12</f>
        <v>0</v>
      </c>
      <c r="H8" s="23">
        <f>'Truck Diversion Impacts'!AH9</f>
        <v>0</v>
      </c>
      <c r="I8" s="23">
        <f>'Truck Crashes'!L12</f>
        <v>0</v>
      </c>
      <c r="J8" s="23">
        <f>'Truck Diversion Impacts'!AN9</f>
        <v>0</v>
      </c>
      <c r="K8" s="23">
        <f>'Truck Pavement'!D11</f>
        <v>0</v>
      </c>
      <c r="L8" s="23">
        <f>'Truck Diversion Impacts'!AQ9</f>
        <v>0</v>
      </c>
      <c r="M8" s="23">
        <f>'Auto VMT Savings'!E8</f>
        <v>0</v>
      </c>
      <c r="N8" s="23">
        <f>'Auto safety'!O10</f>
        <v>0</v>
      </c>
      <c r="O8" s="23">
        <f>'Auto Emissions'!T9</f>
        <v>0</v>
      </c>
      <c r="P8" s="23">
        <f>'Summary Undisc'!P8*Discounting!C13</f>
        <v>0</v>
      </c>
      <c r="Q8" s="23">
        <f t="shared" si="0"/>
        <v>0</v>
      </c>
      <c r="R8" s="23">
        <f>Costs!F8</f>
        <v>-33321528.906756848</v>
      </c>
      <c r="S8" s="23">
        <f>'Operating Benefits'!L10+'Vessel Env. Impacts'!J8+'Truck Diversion Impacts'!I10+'Truck Emissions'!W12+'Truck Crashes'!L12+'Truck Pavement'!D11+'Auto VMT Savings'!E8+'Auto safety'!O10+'Auto Emissions'!T9+P8+'Truck Diversion Impacts'!AA9+'Truck Diversion Impacts'!AH9+'Truck Diversion Impacts'!AN9+'Truck Diversion Impacts'!AQ9</f>
        <v>0</v>
      </c>
    </row>
    <row r="9" spans="1:19" x14ac:dyDescent="0.25">
      <c r="A9">
        <f>Costs!B9</f>
        <v>2023</v>
      </c>
      <c r="B9" s="23">
        <f>Costs!E9</f>
        <v>-34346295.040716901</v>
      </c>
      <c r="C9" s="23">
        <f>'Operating Benefits'!L11</f>
        <v>0</v>
      </c>
      <c r="D9" s="23">
        <f>'Vessel Env. Impacts'!J9</f>
        <v>0</v>
      </c>
      <c r="E9" s="23">
        <f>'Truck Diversion Impacts'!I11</f>
        <v>0</v>
      </c>
      <c r="F9" s="23">
        <f>'Truck Diversion Impacts'!AA10</f>
        <v>0</v>
      </c>
      <c r="G9" s="23">
        <f>'Truck Emissions'!W13</f>
        <v>0</v>
      </c>
      <c r="H9" s="23">
        <f>'Truck Diversion Impacts'!AH10</f>
        <v>0</v>
      </c>
      <c r="I9" s="23">
        <f>'Truck Crashes'!L13</f>
        <v>0</v>
      </c>
      <c r="J9" s="23">
        <f>'Truck Diversion Impacts'!AN10</f>
        <v>0</v>
      </c>
      <c r="K9" s="23">
        <f>'Truck Pavement'!D12</f>
        <v>0</v>
      </c>
      <c r="L9" s="23">
        <f>'Truck Diversion Impacts'!AQ10</f>
        <v>0</v>
      </c>
      <c r="M9" s="23">
        <f>'Auto VMT Savings'!E9</f>
        <v>0</v>
      </c>
      <c r="N9" s="23">
        <f>'Auto safety'!O11</f>
        <v>0</v>
      </c>
      <c r="O9" s="23">
        <f>'Auto Emissions'!T10</f>
        <v>0</v>
      </c>
      <c r="P9" s="23">
        <f>'Summary Undisc'!P9*Discounting!C14</f>
        <v>0</v>
      </c>
      <c r="Q9" s="23">
        <f t="shared" si="0"/>
        <v>0</v>
      </c>
      <c r="R9" s="23">
        <f>Costs!F9</f>
        <v>-22886386.617289357</v>
      </c>
      <c r="S9" s="23">
        <f>'Operating Benefits'!L11+'Vessel Env. Impacts'!J9+'Truck Diversion Impacts'!I11+'Truck Emissions'!W13+'Truck Crashes'!L13+'Truck Pavement'!D12+'Auto VMT Savings'!E9+'Auto safety'!O11+'Auto Emissions'!T10+P9+'Truck Diversion Impacts'!AA10+'Truck Diversion Impacts'!AH10+'Truck Diversion Impacts'!AN10+'Truck Diversion Impacts'!AQ10</f>
        <v>0</v>
      </c>
    </row>
    <row r="10" spans="1:19" x14ac:dyDescent="0.25">
      <c r="A10">
        <f>Costs!B10</f>
        <v>2024</v>
      </c>
      <c r="B10" s="23">
        <f>Costs!E10</f>
        <v>0</v>
      </c>
      <c r="C10" s="23">
        <f>'Operating Benefits'!L12</f>
        <v>3138277.2598128784</v>
      </c>
      <c r="D10" s="23">
        <f>'Vessel Env. Impacts'!J10</f>
        <v>170456.73956120142</v>
      </c>
      <c r="E10" s="23">
        <f>'Truck Diversion Impacts'!I12</f>
        <v>548628.36620840174</v>
      </c>
      <c r="F10" s="23">
        <f>'Truck Diversion Impacts'!AA11</f>
        <v>0</v>
      </c>
      <c r="G10" s="23">
        <f>'Truck Emissions'!W14</f>
        <v>31687.644384150597</v>
      </c>
      <c r="H10" s="23">
        <f>'Truck Diversion Impacts'!AH11</f>
        <v>0</v>
      </c>
      <c r="I10" s="23">
        <f>'Truck Crashes'!L14</f>
        <v>82137.295277377576</v>
      </c>
      <c r="J10" s="23">
        <f>'Truck Diversion Impacts'!AN11</f>
        <v>0</v>
      </c>
      <c r="K10" s="23">
        <f>'Truck Pavement'!D13</f>
        <v>20222.845388701371</v>
      </c>
      <c r="L10" s="23">
        <f>'Truck Diversion Impacts'!AQ11</f>
        <v>0</v>
      </c>
      <c r="M10" s="23">
        <f>'Auto VMT Savings'!E10</f>
        <v>30456.198876607807</v>
      </c>
      <c r="N10" s="23">
        <f>'Auto safety'!O12</f>
        <v>17283.032036320368</v>
      </c>
      <c r="O10" s="23">
        <f>'Auto Emissions'!T11</f>
        <v>9370.6656822921013</v>
      </c>
      <c r="P10" s="23">
        <f>'Summary Undisc'!P10*Discounting!C15</f>
        <v>-278892.04512567789</v>
      </c>
      <c r="Q10" s="23">
        <f t="shared" si="0"/>
        <v>3769628.0021022535</v>
      </c>
      <c r="R10" s="23">
        <f>Costs!F10</f>
        <v>0</v>
      </c>
      <c r="S10" s="23">
        <f>'Operating Benefits'!L12+'Vessel Env. Impacts'!J10+'Truck Diversion Impacts'!I12+'Truck Emissions'!W14+'Truck Crashes'!L14+'Truck Pavement'!D13+'Auto VMT Savings'!E10+'Auto safety'!O12+'Auto Emissions'!T11+P10+'Truck Diversion Impacts'!AA11+'Truck Diversion Impacts'!AH11+'Truck Diversion Impacts'!AN11+'Truck Diversion Impacts'!AQ11</f>
        <v>3769628.0021022535</v>
      </c>
    </row>
    <row r="11" spans="1:19" x14ac:dyDescent="0.25">
      <c r="A11">
        <f>Costs!B11</f>
        <v>2025</v>
      </c>
      <c r="B11" s="23">
        <f>Costs!E11</f>
        <v>0</v>
      </c>
      <c r="C11" s="23">
        <f>'Operating Benefits'!L13</f>
        <v>2821020.2765289415</v>
      </c>
      <c r="D11" s="23">
        <f>'Vessel Env. Impacts'!J11</f>
        <v>157323.14337070391</v>
      </c>
      <c r="E11" s="23">
        <f>'Truck Diversion Impacts'!I13</f>
        <v>788489.13812262903</v>
      </c>
      <c r="F11" s="23">
        <f>'Truck Diversion Impacts'!AA12</f>
        <v>0</v>
      </c>
      <c r="G11" s="23">
        <f>'Truck Emissions'!W15</f>
        <v>39813.743562250231</v>
      </c>
      <c r="H11" s="23">
        <f>'Truck Diversion Impacts'!AH12</f>
        <v>0</v>
      </c>
      <c r="I11" s="23">
        <f>'Truck Crashes'!L15</f>
        <v>118047.78817503202</v>
      </c>
      <c r="J11" s="23">
        <f>'Truck Diversion Impacts'!AN12</f>
        <v>0</v>
      </c>
      <c r="K11" s="23">
        <f>'Truck Pavement'!D14</f>
        <v>29064.289987636686</v>
      </c>
      <c r="L11" s="23">
        <f>'Truck Diversion Impacts'!AQ12</f>
        <v>0</v>
      </c>
      <c r="M11" s="23">
        <f>'Auto VMT Savings'!E11</f>
        <v>25553.808146853484</v>
      </c>
      <c r="N11" s="23">
        <f>'Auto safety'!O13</f>
        <v>14501.063860312022</v>
      </c>
      <c r="O11" s="23">
        <f>'Auto Emissions'!T12</f>
        <v>7184.5241043109581</v>
      </c>
      <c r="P11" s="23">
        <f>'Summary Undisc'!P11*Discounting!C16</f>
        <v>-260646.77114549335</v>
      </c>
      <c r="Q11" s="23">
        <f t="shared" si="0"/>
        <v>3740351.0047131767</v>
      </c>
      <c r="R11" s="23">
        <f>Costs!F11</f>
        <v>0</v>
      </c>
      <c r="S11" s="23">
        <f>'Operating Benefits'!L13+'Vessel Env. Impacts'!J11+'Truck Diversion Impacts'!I13+'Truck Emissions'!W15+'Truck Crashes'!L15+'Truck Pavement'!D14+'Auto VMT Savings'!E11+'Auto safety'!O13+'Auto Emissions'!T12+P11+'Truck Diversion Impacts'!AA12+'Truck Diversion Impacts'!AH12+'Truck Diversion Impacts'!AN12+'Truck Diversion Impacts'!AQ12</f>
        <v>3740351.0047131767</v>
      </c>
    </row>
    <row r="12" spans="1:19" x14ac:dyDescent="0.25">
      <c r="A12">
        <f>Costs!B12</f>
        <v>2026</v>
      </c>
      <c r="B12" s="23">
        <f>Costs!E12</f>
        <v>0</v>
      </c>
      <c r="C12" s="23">
        <f>'Operating Benefits'!L14</f>
        <v>2591401.6864179722</v>
      </c>
      <c r="D12" s="23">
        <f>'Vessel Env. Impacts'!J12</f>
        <v>143717.19715056135</v>
      </c>
      <c r="E12" s="23">
        <f>'Truck Diversion Impacts'!I14</f>
        <v>1007503.8343551096</v>
      </c>
      <c r="F12" s="23">
        <f>'Truck Diversion Impacts'!AA13</f>
        <v>765821.9303386244</v>
      </c>
      <c r="G12" s="23">
        <f>'Truck Emissions'!W16</f>
        <v>46751.880432435755</v>
      </c>
      <c r="H12" s="23">
        <f>'Truck Diversion Impacts'!AH13</f>
        <v>35536.951919042527</v>
      </c>
      <c r="I12" s="23">
        <f>'Truck Crashes'!L16</f>
        <v>150837.33367166246</v>
      </c>
      <c r="J12" s="23">
        <f>'Truck Diversion Impacts'!AN13</f>
        <v>114654.19197486543</v>
      </c>
      <c r="K12" s="23">
        <f>'Truck Pavement'!D15</f>
        <v>37137.332893479463</v>
      </c>
      <c r="L12" s="23">
        <f>'Truck Diversion Impacts'!AQ13</f>
        <v>60711.168820537758</v>
      </c>
      <c r="M12" s="23">
        <f>'Auto VMT Savings'!E12</f>
        <v>22115.85588916939</v>
      </c>
      <c r="N12" s="23">
        <f>'Auto safety'!O14</f>
        <v>12550.12312573037</v>
      </c>
      <c r="O12" s="23">
        <f>'Auto Emissions'!T13</f>
        <v>5599.5967985221387</v>
      </c>
      <c r="P12" s="23">
        <f>'Summary Undisc'!P12*Discounting!C17</f>
        <v>-243595.11322008722</v>
      </c>
      <c r="Q12" s="23">
        <f t="shared" si="0"/>
        <v>4750743.970567625</v>
      </c>
      <c r="R12" s="23">
        <f>Costs!F12</f>
        <v>0</v>
      </c>
      <c r="S12" s="23">
        <f>'Operating Benefits'!L14+'Vessel Env. Impacts'!J12+'Truck Diversion Impacts'!I14+'Truck Emissions'!W16+'Truck Crashes'!L16+'Truck Pavement'!D15+'Auto VMT Savings'!E12+'Auto safety'!O14+'Auto Emissions'!T13+P12+'Truck Diversion Impacts'!AA13+'Truck Diversion Impacts'!AH13+'Truck Diversion Impacts'!AN13+'Truck Diversion Impacts'!AQ13</f>
        <v>4750743.9705676259</v>
      </c>
    </row>
    <row r="13" spans="1:19" x14ac:dyDescent="0.25">
      <c r="A13">
        <f>Costs!B13</f>
        <v>2027</v>
      </c>
      <c r="B13" s="23">
        <f>Costs!E13</f>
        <v>0</v>
      </c>
      <c r="C13" s="23">
        <f>'Operating Benefits'!L15</f>
        <v>2377449.9778493629</v>
      </c>
      <c r="D13" s="23">
        <f>'Vessel Env. Impacts'!J13</f>
        <v>131035.80948254259</v>
      </c>
      <c r="E13" s="23">
        <f>'Truck Diversion Impacts'!I15</f>
        <v>1207132.5579781397</v>
      </c>
      <c r="F13" s="23">
        <f>'Truck Diversion Impacts'!AA14</f>
        <v>3520925.36958618</v>
      </c>
      <c r="G13" s="23">
        <f>'Truck Emissions'!W17</f>
        <v>51081.044759117656</v>
      </c>
      <c r="H13" s="23">
        <f>'Truck Diversion Impacts'!AH14</f>
        <v>148991.54629594667</v>
      </c>
      <c r="I13" s="23">
        <f>'Truck Crashes'!L17</f>
        <v>180724.52950040004</v>
      </c>
      <c r="J13" s="23">
        <f>'Truck Diversion Impacts'!AN14</f>
        <v>527131.48744017852</v>
      </c>
      <c r="K13" s="23">
        <f>'Truck Pavement'!D16</f>
        <v>44495.794580163049</v>
      </c>
      <c r="L13" s="23">
        <f>'Truck Diversion Impacts'!AQ14</f>
        <v>279124.27948223235</v>
      </c>
      <c r="M13" s="23">
        <f>'Auto VMT Savings'!E13</f>
        <v>18779.016783893683</v>
      </c>
      <c r="N13" s="23">
        <f>'Auto safety'!O15</f>
        <v>10656.561247238005</v>
      </c>
      <c r="O13" s="23">
        <f>'Auto Emissions'!T14</f>
        <v>4293.3173838864877</v>
      </c>
      <c r="P13" s="23">
        <f>'Summary Undisc'!P13*Discounting!C18</f>
        <v>-227658.98431783853</v>
      </c>
      <c r="Q13" s="23">
        <f t="shared" si="0"/>
        <v>8274162.3080514437</v>
      </c>
      <c r="R13" s="23">
        <f>Costs!F13</f>
        <v>0</v>
      </c>
      <c r="S13" s="23">
        <f>'Operating Benefits'!L15+'Vessel Env. Impacts'!J13+'Truck Diversion Impacts'!I15+'Truck Emissions'!W17+'Truck Crashes'!L17+'Truck Pavement'!D16+'Auto VMT Savings'!E13+'Auto safety'!O15+'Auto Emissions'!T14+P13+'Truck Diversion Impacts'!AA14+'Truck Diversion Impacts'!AH14+'Truck Diversion Impacts'!AN14+'Truck Diversion Impacts'!AQ14</f>
        <v>8274162.3080514427</v>
      </c>
    </row>
    <row r="14" spans="1:19" x14ac:dyDescent="0.25">
      <c r="A14">
        <f>Costs!B14</f>
        <v>2028</v>
      </c>
      <c r="B14" s="23">
        <f>Costs!E14</f>
        <v>0</v>
      </c>
      <c r="C14" s="23">
        <f>'Operating Benefits'!L16</f>
        <v>2172383.087346572</v>
      </c>
      <c r="D14" s="23">
        <f>'Vessel Env. Impacts'!J14</f>
        <v>117812.94637808941</v>
      </c>
      <c r="E14" s="23">
        <f>'Truck Diversion Impacts'!I16</f>
        <v>1388738.0905338319</v>
      </c>
      <c r="F14" s="23">
        <f>'Truck Diversion Impacts'!AA15</f>
        <v>4313734.996654219</v>
      </c>
      <c r="G14" s="23">
        <f>'Truck Emissions'!W18</f>
        <v>53088.651242410204</v>
      </c>
      <c r="H14" s="23">
        <f>'Truck Diversion Impacts'!AH15</f>
        <v>164905.37297894928</v>
      </c>
      <c r="I14" s="23">
        <f>'Truck Crashes'!L18</f>
        <v>207913.40300801964</v>
      </c>
      <c r="J14" s="23">
        <f>'Truck Diversion Impacts'!AN15</f>
        <v>645826.1128881434</v>
      </c>
      <c r="K14" s="23">
        <f>'Truck Pavement'!D17</f>
        <v>51189.90817838606</v>
      </c>
      <c r="L14" s="23">
        <f>'Truck Diversion Impacts'!AQ15</f>
        <v>341974.9203488272</v>
      </c>
      <c r="M14" s="23">
        <f>'Auto VMT Savings'!E14</f>
        <v>15527.998408991736</v>
      </c>
      <c r="N14" s="23">
        <f>'Auto safety'!O16</f>
        <v>8811.7002075613855</v>
      </c>
      <c r="O14" s="23">
        <f>'Auto Emissions'!T15</f>
        <v>3158.0310007147723</v>
      </c>
      <c r="P14" s="23">
        <f>'Summary Undisc'!P14*Discounting!C19</f>
        <v>-212765.40590452196</v>
      </c>
      <c r="Q14" s="23">
        <f t="shared" si="0"/>
        <v>9272299.8132701907</v>
      </c>
      <c r="R14" s="23">
        <f>Costs!F14</f>
        <v>0</v>
      </c>
      <c r="S14" s="23">
        <f>'Operating Benefits'!L16+'Vessel Env. Impacts'!J14+'Truck Diversion Impacts'!I16+'Truck Emissions'!W18+'Truck Crashes'!L18+'Truck Pavement'!D17+'Auto VMT Savings'!E14+'Auto safety'!O16+'Auto Emissions'!T15+P14+'Truck Diversion Impacts'!AA15+'Truck Diversion Impacts'!AH15+'Truck Diversion Impacts'!AN15+'Truck Diversion Impacts'!AQ15</f>
        <v>9272299.8132701926</v>
      </c>
    </row>
    <row r="15" spans="1:19" x14ac:dyDescent="0.25">
      <c r="A15">
        <f>Costs!B15</f>
        <v>2029</v>
      </c>
      <c r="B15" s="23">
        <f>Costs!E15</f>
        <v>0</v>
      </c>
      <c r="C15" s="23">
        <f>'Operating Benefits'!L17</f>
        <v>1988019.5906343833</v>
      </c>
      <c r="D15" s="23">
        <f>'Vessel Env. Impacts'!J15</f>
        <v>107060.20681301807</v>
      </c>
      <c r="E15" s="23">
        <f>'Truck Diversion Impacts'!I17</f>
        <v>548336.78147190216</v>
      </c>
      <c r="F15" s="23">
        <f>'Truck Diversion Impacts'!AA16</f>
        <v>4031528.0342562804</v>
      </c>
      <c r="G15" s="23">
        <f>'Truck Emissions'!W19</f>
        <v>18720.130265698048</v>
      </c>
      <c r="H15" s="23">
        <f>'Truck Diversion Impacts'!AH16</f>
        <v>137635.72410463661</v>
      </c>
      <c r="I15" s="23">
        <f>'Truck Crashes'!L19</f>
        <v>82093.64098774294</v>
      </c>
      <c r="J15" s="23">
        <f>'Truck Diversion Impacts'!AN16</f>
        <v>603575.80643751728</v>
      </c>
      <c r="K15" s="23">
        <f>'Truck Pavement'!D18</f>
        <v>43469.853227800646</v>
      </c>
      <c r="L15" s="23">
        <f>'Truck Diversion Impacts'!AQ16</f>
        <v>319602.72929796937</v>
      </c>
      <c r="M15" s="23">
        <f>'Auto VMT Savings'!E15</f>
        <v>12347.90054226493</v>
      </c>
      <c r="N15" s="23">
        <f>'Auto safety'!O17</f>
        <v>7007.0845517486259</v>
      </c>
      <c r="O15" s="23">
        <f>'Auto Emissions'!T16</f>
        <v>2132.6949421757645</v>
      </c>
      <c r="P15" s="23">
        <f>'Summary Undisc'!P15*Discounting!C20</f>
        <v>-198846.17374254394</v>
      </c>
      <c r="Q15" s="23">
        <f t="shared" si="0"/>
        <v>7702684.0037905937</v>
      </c>
      <c r="R15" s="23">
        <f>Costs!F15</f>
        <v>0</v>
      </c>
      <c r="S15" s="23">
        <f>'Operating Benefits'!L17+'Vessel Env. Impacts'!J15+'Truck Diversion Impacts'!I17+'Truck Emissions'!W19+'Truck Crashes'!L19+'Truck Pavement'!D18+'Auto VMT Savings'!E15+'Auto safety'!O17+'Auto Emissions'!T16+P15+'Truck Diversion Impacts'!AA16+'Truck Diversion Impacts'!AH16+'Truck Diversion Impacts'!AN16+'Truck Diversion Impacts'!AQ16</f>
        <v>7702684.0037905946</v>
      </c>
    </row>
    <row r="16" spans="1:19" x14ac:dyDescent="0.25">
      <c r="A16">
        <f>Costs!B16</f>
        <v>2030</v>
      </c>
      <c r="B16" s="23">
        <f>Costs!E16</f>
        <v>0</v>
      </c>
      <c r="C16" s="23">
        <f>'Operating Benefits'!L18</f>
        <v>1816716.4154289612</v>
      </c>
      <c r="D16" s="23">
        <f>'Vessel Env. Impacts'!J16</f>
        <v>97082.531954129125</v>
      </c>
      <c r="E16" s="23">
        <f>'Truck Diversion Impacts'!I18</f>
        <v>601028.26588152698</v>
      </c>
      <c r="F16" s="23">
        <f>'Truck Diversion Impacts'!AA17</f>
        <v>3767783.2095853081</v>
      </c>
      <c r="G16" s="23">
        <f>'Truck Emissions'!W20</f>
        <v>18061.983358092086</v>
      </c>
      <c r="H16" s="23">
        <f>'Truck Diversion Impacts'!AH17</f>
        <v>113228.68073203594</v>
      </c>
      <c r="I16" s="23">
        <f>'Truck Crashes'!L20</f>
        <v>89982.288896102575</v>
      </c>
      <c r="J16" s="23">
        <f>'Truck Diversion Impacts'!AN17</f>
        <v>564089.53872665158</v>
      </c>
      <c r="K16" s="23">
        <f>'Truck Pavement'!D19</f>
        <v>47647.014364963397</v>
      </c>
      <c r="L16" s="23">
        <f>'Truck Diversion Impacts'!AQ17</f>
        <v>298694.13953081251</v>
      </c>
      <c r="M16" s="23">
        <f>'Auto VMT Savings'!E16</f>
        <v>9224.1468698434928</v>
      </c>
      <c r="N16" s="23">
        <f>'Auto safety'!O18</f>
        <v>5234.4426336693778</v>
      </c>
      <c r="O16" s="23">
        <f>'Auto Emissions'!T17</f>
        <v>1445.1642873975916</v>
      </c>
      <c r="P16" s="23">
        <f>'Summary Undisc'!P16*Discounting!C21</f>
        <v>-185837.54555377935</v>
      </c>
      <c r="Q16" s="23">
        <f t="shared" si="0"/>
        <v>7244380.2766957143</v>
      </c>
      <c r="R16" s="23">
        <f>Costs!F16</f>
        <v>0</v>
      </c>
      <c r="S16" s="23">
        <f>'Operating Benefits'!L18+'Vessel Env. Impacts'!J16+'Truck Diversion Impacts'!I18+'Truck Emissions'!W20+'Truck Crashes'!L20+'Truck Pavement'!D19+'Auto VMT Savings'!E16+'Auto safety'!O18+'Auto Emissions'!T17+P16+'Truck Diversion Impacts'!AA17+'Truck Diversion Impacts'!AH17+'Truck Diversion Impacts'!AN17+'Truck Diversion Impacts'!AQ17</f>
        <v>7244380.2766957143</v>
      </c>
    </row>
    <row r="17" spans="1:19" x14ac:dyDescent="0.25">
      <c r="A17">
        <f>Costs!B17</f>
        <v>2031</v>
      </c>
      <c r="B17" s="23">
        <f>Costs!E17</f>
        <v>0</v>
      </c>
      <c r="C17" s="23">
        <f>'Operating Benefits'!L19</f>
        <v>1658177.1104265447</v>
      </c>
      <c r="D17" s="23">
        <f>'Vessel Env. Impacts'!J17</f>
        <v>87948.442526945582</v>
      </c>
      <c r="E17" s="23">
        <f>'Truck Diversion Impacts'!I19</f>
        <v>648617.2422618852</v>
      </c>
      <c r="F17" s="23">
        <f>'Truck Diversion Impacts'!AA18</f>
        <v>3521292.7192386063</v>
      </c>
      <c r="G17" s="23">
        <f>'Truck Emissions'!W21</f>
        <v>18942.129183201025</v>
      </c>
      <c r="H17" s="23">
        <f>'Truck Diversion Impacts'!AH18</f>
        <v>102835.35070249002</v>
      </c>
      <c r="I17" s="23">
        <f>'Truck Crashes'!L21</f>
        <v>97107.020400446316</v>
      </c>
      <c r="J17" s="23">
        <f>'Truck Diversion Impacts'!AN18</f>
        <v>527186.48479126324</v>
      </c>
      <c r="K17" s="23">
        <f>'Truck Pavement'!D20</f>
        <v>51419.669945284797</v>
      </c>
      <c r="L17" s="23">
        <f>'Truck Diversion Impacts'!AQ18</f>
        <v>279153.40143066592</v>
      </c>
      <c r="M17" s="23">
        <f>'Auto VMT Savings'!E17</f>
        <v>6142.4181740134054</v>
      </c>
      <c r="N17" s="23">
        <f>'Auto safety'!O19</f>
        <v>3485.6487019950182</v>
      </c>
      <c r="O17" s="23">
        <f>'Auto Emissions'!T18</f>
        <v>872.22108852452982</v>
      </c>
      <c r="P17" s="23">
        <f>'Summary Undisc'!P17*Discounting!C22</f>
        <v>-173679.94911568167</v>
      </c>
      <c r="Q17" s="23">
        <f t="shared" si="0"/>
        <v>6829499.9097561836</v>
      </c>
      <c r="R17" s="23">
        <f>Costs!F17</f>
        <v>0</v>
      </c>
      <c r="S17" s="23">
        <f>'Operating Benefits'!L19+'Vessel Env. Impacts'!J17+'Truck Diversion Impacts'!I19+'Truck Emissions'!W21+'Truck Crashes'!L21+'Truck Pavement'!D20+'Auto VMT Savings'!E17+'Auto safety'!O19+'Auto Emissions'!T18+P17+'Truck Diversion Impacts'!AA18+'Truck Diversion Impacts'!AH18+'Truck Diversion Impacts'!AN18+'Truck Diversion Impacts'!AQ18</f>
        <v>6829499.9097561846</v>
      </c>
    </row>
    <row r="18" spans="1:19" x14ac:dyDescent="0.25">
      <c r="A18">
        <f>Costs!B18</f>
        <v>2032</v>
      </c>
      <c r="B18" s="23">
        <f>Costs!E18</f>
        <v>0</v>
      </c>
      <c r="C18" s="23">
        <f>'Operating Benefits'!L20</f>
        <v>1509767.1430230467</v>
      </c>
      <c r="D18" s="23">
        <f>'Vessel Env. Impacts'!J18</f>
        <v>79394.914243281717</v>
      </c>
      <c r="E18" s="23">
        <f>'Truck Diversion Impacts'!I20</f>
        <v>687186.32680380007</v>
      </c>
      <c r="F18" s="23">
        <f>'Truck Diversion Impacts'!AA19</f>
        <v>3290927.7749893512</v>
      </c>
      <c r="G18" s="23">
        <f>'Truck Emissions'!W22</f>
        <v>19485.816978649957</v>
      </c>
      <c r="H18" s="23">
        <f>'Truck Diversion Impacts'!AH19</f>
        <v>93317.363591413668</v>
      </c>
      <c r="I18" s="23">
        <f>'Truck Crashes'!L22</f>
        <v>102881.3486720436</v>
      </c>
      <c r="J18" s="23">
        <f>'Truck Diversion Impacts'!AN19</f>
        <v>492697.64933762909</v>
      </c>
      <c r="K18" s="23">
        <f>'Truck Pavement'!D21</f>
        <v>54477.266117599182</v>
      </c>
      <c r="L18" s="23">
        <f>'Truck Diversion Impacts'!AQ19</f>
        <v>260891.02937445408</v>
      </c>
      <c r="M18" s="23">
        <f>'Auto VMT Savings'!E18</f>
        <v>3039.109874701182</v>
      </c>
      <c r="N18" s="23">
        <f>'Auto safety'!O20</f>
        <v>1724.6089552790675</v>
      </c>
      <c r="O18" s="23">
        <f>'Auto Emissions'!T19</f>
        <v>397.66221774107186</v>
      </c>
      <c r="P18" s="23">
        <f>'Summary Undisc'!P18*Discounting!C23</f>
        <v>-162317.70945390806</v>
      </c>
      <c r="Q18" s="23">
        <f t="shared" si="0"/>
        <v>6433870.3047250826</v>
      </c>
      <c r="R18" s="23">
        <f>Costs!F18</f>
        <v>0</v>
      </c>
      <c r="S18" s="23">
        <f>'Operating Benefits'!L20+'Vessel Env. Impacts'!J18+'Truck Diversion Impacts'!I20+'Truck Emissions'!W22+'Truck Crashes'!L22+'Truck Pavement'!D21+'Auto VMT Savings'!E18+'Auto safety'!O20+'Auto Emissions'!T19+P18+'Truck Diversion Impacts'!AA19+'Truck Diversion Impacts'!AH19+'Truck Diversion Impacts'!AN19+'Truck Diversion Impacts'!AQ19</f>
        <v>6433870.3047250826</v>
      </c>
    </row>
    <row r="19" spans="1:19" x14ac:dyDescent="0.25">
      <c r="A19">
        <f>Costs!B19</f>
        <v>2033</v>
      </c>
      <c r="B19" s="23">
        <f>Costs!E19</f>
        <v>0</v>
      </c>
      <c r="C19" s="23">
        <f>'Operating Benefits'!L21</f>
        <v>1410997.3299280812</v>
      </c>
      <c r="D19" s="23">
        <f>'Vessel Env. Impacts'!J19</f>
        <v>74200.854432973574</v>
      </c>
      <c r="E19" s="23">
        <f>'Truck Diversion Impacts'!I21</f>
        <v>642230.21196616837</v>
      </c>
      <c r="F19" s="23">
        <f>'Truck Diversion Impacts'!AA20</f>
        <v>3075633.4345694873</v>
      </c>
      <c r="G19" s="23">
        <f>'Truck Emissions'!W23</f>
        <v>17666.485890540022</v>
      </c>
      <c r="H19" s="23">
        <f>'Truck Diversion Impacts'!AH20</f>
        <v>84604.606983449252</v>
      </c>
      <c r="I19" s="23">
        <f>'Truck Crashes'!L23</f>
        <v>96150.793151442631</v>
      </c>
      <c r="J19" s="23">
        <f>'Truck Diversion Impacts'!AN20</f>
        <v>460465.09283890575</v>
      </c>
      <c r="K19" s="23">
        <f>'Truck Pavement'!D22</f>
        <v>50913.332820186151</v>
      </c>
      <c r="L19" s="23">
        <f>'Truck Diversion Impacts'!AQ20</f>
        <v>243823.39193874216</v>
      </c>
      <c r="M19" s="23">
        <f>'Auto VMT Savings'!E19</f>
        <v>2840.2896025244695</v>
      </c>
      <c r="N19" s="23">
        <f>'Auto safety'!O21</f>
        <v>1611.7840703542688</v>
      </c>
      <c r="O19" s="23">
        <f>'Auto Emissions'!T20</f>
        <v>320.64934234781987</v>
      </c>
      <c r="P19" s="23">
        <f>'Summary Undisc'!P19*Discounting!C24</f>
        <v>-151698.7938821571</v>
      </c>
      <c r="Q19" s="23">
        <f t="shared" si="0"/>
        <v>6009759.4636530476</v>
      </c>
      <c r="R19" s="23">
        <f>Costs!F19</f>
        <v>0</v>
      </c>
      <c r="S19" s="23">
        <f>'Operating Benefits'!L21+'Vessel Env. Impacts'!J19+'Truck Diversion Impacts'!I21+'Truck Emissions'!W23+'Truck Crashes'!L23+'Truck Pavement'!D22+'Auto VMT Savings'!E19+'Auto safety'!O21+'Auto Emissions'!T20+P19+'Truck Diversion Impacts'!AA20+'Truck Diversion Impacts'!AH20+'Truck Diversion Impacts'!AN20+'Truck Diversion Impacts'!AQ20</f>
        <v>6009759.4636530457</v>
      </c>
    </row>
    <row r="20" spans="1:19" x14ac:dyDescent="0.25">
      <c r="A20">
        <f>Costs!B20</f>
        <v>2034</v>
      </c>
      <c r="B20" s="23">
        <f>Costs!E20</f>
        <v>0</v>
      </c>
      <c r="C20" s="23">
        <f>'Operating Benefits'!L22</f>
        <v>1318689.0933907302</v>
      </c>
      <c r="D20" s="23">
        <f>'Vessel Env. Impacts'!J20</f>
        <v>69346.592928012702</v>
      </c>
      <c r="E20" s="23">
        <f>'Truck Diversion Impacts'!I22</f>
        <v>600215.15137025085</v>
      </c>
      <c r="F20" s="23">
        <f>'Truck Diversion Impacts'!AA21</f>
        <v>2874423.7706256895</v>
      </c>
      <c r="G20" s="23">
        <f>'Truck Emissions'!W24</f>
        <v>16001.962268968562</v>
      </c>
      <c r="H20" s="23">
        <f>'Truck Diversion Impacts'!AH21</f>
        <v>76633.221633229157</v>
      </c>
      <c r="I20" s="23">
        <f>'Truck Crashes'!L24</f>
        <v>89860.55434714265</v>
      </c>
      <c r="J20" s="23">
        <f>'Truck Diversion Impacts'!AN21</f>
        <v>430341.20826065965</v>
      </c>
      <c r="K20" s="23">
        <f>'Truck Pavement'!D23</f>
        <v>47582.554037557158</v>
      </c>
      <c r="L20" s="23">
        <f>'Truck Diversion Impacts'!AQ21</f>
        <v>227872.32891471233</v>
      </c>
      <c r="M20" s="23">
        <f>'Auto VMT Savings'!E20</f>
        <v>2654.4762640415602</v>
      </c>
      <c r="N20" s="23">
        <f>'Auto safety'!O22</f>
        <v>1506.3402526675411</v>
      </c>
      <c r="O20" s="23">
        <f>'Auto Emissions'!T21</f>
        <v>258.57709781700214</v>
      </c>
      <c r="P20" s="23">
        <f>'Summary Undisc'!P20*Discounting!C25</f>
        <v>-141774.57372164214</v>
      </c>
      <c r="Q20" s="23">
        <f t="shared" si="0"/>
        <v>5613611.2576698381</v>
      </c>
      <c r="R20" s="23">
        <f>Costs!F20</f>
        <v>0</v>
      </c>
      <c r="S20" s="23">
        <f>'Operating Benefits'!L22+'Vessel Env. Impacts'!J20+'Truck Diversion Impacts'!I22+'Truck Emissions'!W24+'Truck Crashes'!L24+'Truck Pavement'!D23+'Auto VMT Savings'!E20+'Auto safety'!O22+'Auto Emissions'!T21+P20+'Truck Diversion Impacts'!AA21+'Truck Diversion Impacts'!AH21+'Truck Diversion Impacts'!AN21+'Truck Diversion Impacts'!AQ21</f>
        <v>5613611.2576698363</v>
      </c>
    </row>
    <row r="21" spans="1:19" x14ac:dyDescent="0.25">
      <c r="A21">
        <f>Costs!B21</f>
        <v>2035</v>
      </c>
      <c r="B21" s="23">
        <f>Costs!E21</f>
        <v>0</v>
      </c>
      <c r="C21" s="23">
        <f>'Operating Benefits'!L23</f>
        <v>1232419.7134492802</v>
      </c>
      <c r="D21" s="23">
        <f>'Vessel Env. Impacts'!J21</f>
        <v>64809.899932722139</v>
      </c>
      <c r="E21" s="23">
        <f>'Truck Diversion Impacts'!I23</f>
        <v>560948.73959836527</v>
      </c>
      <c r="F21" s="23">
        <f>'Truck Diversion Impacts'!AA22</f>
        <v>2686377.3557249429</v>
      </c>
      <c r="G21" s="23">
        <f>'Truck Emissions'!W25</f>
        <v>12453.586634226347</v>
      </c>
      <c r="H21" s="23">
        <f>'Truck Diversion Impacts'!AH22</f>
        <v>59640.089673252507</v>
      </c>
      <c r="I21" s="23">
        <f>'Truck Crashes'!L25</f>
        <v>83981.826492656677</v>
      </c>
      <c r="J21" s="23">
        <f>'Truck Diversion Impacts'!AN22</f>
        <v>402188.04510342015</v>
      </c>
      <c r="K21" s="23">
        <f>'Truck Pavement'!D24</f>
        <v>44469.676670614157</v>
      </c>
      <c r="L21" s="23">
        <f>'Truck Diversion Impacts'!AQ22</f>
        <v>212964.79337823577</v>
      </c>
      <c r="M21" s="23">
        <f>'Auto VMT Savings'!E21</f>
        <v>2480.8189383565982</v>
      </c>
      <c r="N21" s="23">
        <f>'Auto safety'!O23</f>
        <v>1407.794628661253</v>
      </c>
      <c r="O21" s="23">
        <f>'Auto Emissions'!T22</f>
        <v>209.50725267458384</v>
      </c>
      <c r="P21" s="23">
        <f>'Summary Undisc'!P21*Discounting!C26</f>
        <v>-132499.60160901133</v>
      </c>
      <c r="Q21" s="23">
        <f t="shared" si="0"/>
        <v>5231852.2458683979</v>
      </c>
      <c r="R21" s="23">
        <f>Costs!F21</f>
        <v>0</v>
      </c>
      <c r="S21" s="23">
        <f>'Operating Benefits'!L23+'Vessel Env. Impacts'!J21+'Truck Diversion Impacts'!I23+'Truck Emissions'!W25+'Truck Crashes'!L25+'Truck Pavement'!D24+'Auto VMT Savings'!E21+'Auto safety'!O23+'Auto Emissions'!T22+P21+'Truck Diversion Impacts'!AA22+'Truck Diversion Impacts'!AH22+'Truck Diversion Impacts'!AN22+'Truck Diversion Impacts'!AQ22</f>
        <v>5231852.2458683979</v>
      </c>
    </row>
    <row r="22" spans="1:19" x14ac:dyDescent="0.25">
      <c r="A22">
        <f>Costs!B22</f>
        <v>2036</v>
      </c>
      <c r="B22" s="23">
        <f>Costs!E22</f>
        <v>0</v>
      </c>
      <c r="C22" s="23">
        <f>'Operating Benefits'!L24</f>
        <v>1151794.1247189536</v>
      </c>
      <c r="D22" s="23">
        <f>'Vessel Env. Impacts'!J22</f>
        <v>60569.999937123495</v>
      </c>
      <c r="E22" s="23">
        <f>'Truck Diversion Impacts'!I24</f>
        <v>524251.1585031451</v>
      </c>
      <c r="F22" s="23">
        <f>'Truck Diversion Impacts'!AA23</f>
        <v>2510633.0427335915</v>
      </c>
      <c r="G22" s="23">
        <f>'Truck Emissions'!W26</f>
        <v>11509.397663920459</v>
      </c>
      <c r="H22" s="23">
        <f>'Truck Diversion Impacts'!AH23</f>
        <v>55118.379059959974</v>
      </c>
      <c r="I22" s="23">
        <f>'Truck Crashes'!L26</f>
        <v>78487.688310894082</v>
      </c>
      <c r="J22" s="23">
        <f>'Truck Diversion Impacts'!AN23</f>
        <v>375876.67766674783</v>
      </c>
      <c r="K22" s="23">
        <f>'Truck Pavement'!D25</f>
        <v>41560.445486555291</v>
      </c>
      <c r="L22" s="23">
        <f>'Truck Diversion Impacts'!AQ23</f>
        <v>199032.5171759213</v>
      </c>
      <c r="M22" s="23">
        <f>'Auto VMT Savings'!E22</f>
        <v>2318.5223722958863</v>
      </c>
      <c r="N22" s="23">
        <f>'Auto safety'!O24</f>
        <v>1315.6959146366851</v>
      </c>
      <c r="O22" s="23">
        <f>'Auto Emissions'!T23</f>
        <v>175.22604121816644</v>
      </c>
      <c r="P22" s="23">
        <f>'Summary Undisc'!P22*Discounting!C27</f>
        <v>-123831.40337290779</v>
      </c>
      <c r="Q22" s="23">
        <f t="shared" si="0"/>
        <v>4888811.4722120548</v>
      </c>
      <c r="R22" s="23">
        <f>Costs!F22</f>
        <v>0</v>
      </c>
      <c r="S22" s="23">
        <f>'Operating Benefits'!L24+'Vessel Env. Impacts'!J22+'Truck Diversion Impacts'!I24+'Truck Emissions'!W26+'Truck Crashes'!L26+'Truck Pavement'!D25+'Auto VMT Savings'!E22+'Auto safety'!O24+'Auto Emissions'!T23+P22+'Truck Diversion Impacts'!AA23+'Truck Diversion Impacts'!AH23+'Truck Diversion Impacts'!AN23+'Truck Diversion Impacts'!AQ23</f>
        <v>4888811.4722120557</v>
      </c>
    </row>
    <row r="23" spans="1:19" x14ac:dyDescent="0.25">
      <c r="A23">
        <f>Costs!B23</f>
        <v>2037</v>
      </c>
      <c r="B23" s="23">
        <f>Costs!E23</f>
        <v>0</v>
      </c>
      <c r="C23" s="23">
        <f>'Operating Benefits'!L25</f>
        <v>1076443.1072139754</v>
      </c>
      <c r="D23" s="23">
        <f>'Vessel Env. Impacts'!J23</f>
        <v>56607.476576750931</v>
      </c>
      <c r="E23" s="23">
        <f>'Truck Diversion Impacts'!I25</f>
        <v>489954.3537412571</v>
      </c>
      <c r="F23" s="23">
        <f>'Truck Diversion Impacts'!AA24</f>
        <v>2346386.0212463476</v>
      </c>
      <c r="G23" s="23">
        <f>'Truck Emissions'!W27</f>
        <v>10635.44757872204</v>
      </c>
      <c r="H23" s="23">
        <f>'Truck Diversion Impacts'!AH24</f>
        <v>50933.041696350076</v>
      </c>
      <c r="I23" s="23">
        <f>'Truck Crashes'!L27</f>
        <v>73352.979729807557</v>
      </c>
      <c r="J23" s="23">
        <f>'Truck Diversion Impacts'!AN24</f>
        <v>351286.61464182043</v>
      </c>
      <c r="K23" s="23">
        <f>'Truck Pavement'!D26</f>
        <v>38841.537837902142</v>
      </c>
      <c r="L23" s="23">
        <f>'Truck Diversion Impacts'!AQ24</f>
        <v>186011.69829525356</v>
      </c>
      <c r="M23" s="23">
        <f>'Auto VMT Savings'!E23</f>
        <v>2166.8433385942863</v>
      </c>
      <c r="N23" s="23">
        <f>'Auto safety'!O25</f>
        <v>1229.6223501277432</v>
      </c>
      <c r="O23" s="23">
        <f>'Auto Emissions'!T24</f>
        <v>143.01969146927235</v>
      </c>
      <c r="P23" s="23">
        <f>'Summary Undisc'!P23*Discounting!C28</f>
        <v>-115730.28352608206</v>
      </c>
      <c r="Q23" s="23">
        <f t="shared" si="0"/>
        <v>4568261.4804122951</v>
      </c>
      <c r="R23" s="23">
        <f>Costs!F23</f>
        <v>0</v>
      </c>
      <c r="S23" s="23">
        <f>'Operating Benefits'!L25+'Vessel Env. Impacts'!J23+'Truck Diversion Impacts'!I25+'Truck Emissions'!W27+'Truck Crashes'!L27+'Truck Pavement'!D26+'Auto VMT Savings'!E23+'Auto safety'!O25+'Auto Emissions'!T24+P23+'Truck Diversion Impacts'!AA24+'Truck Diversion Impacts'!AH24+'Truck Diversion Impacts'!AN24+'Truck Diversion Impacts'!AQ24</f>
        <v>4568261.480412296</v>
      </c>
    </row>
    <row r="24" spans="1:19" x14ac:dyDescent="0.25">
      <c r="A24">
        <f>Costs!B24</f>
        <v>2038</v>
      </c>
      <c r="B24" s="23">
        <f>Costs!E24</f>
        <v>0</v>
      </c>
      <c r="C24" s="23">
        <f>'Operating Benefits'!L26</f>
        <v>1006021.5955270798</v>
      </c>
      <c r="D24" s="23">
        <f>'Vessel Env. Impacts'!J24</f>
        <v>52904.183716589658</v>
      </c>
      <c r="E24" s="23">
        <f>'Truck Diversion Impacts'!I26</f>
        <v>457901.26517874497</v>
      </c>
      <c r="F24" s="23">
        <f>'Truck Diversion Impacts'!AA25</f>
        <v>2192884.1320059323</v>
      </c>
      <c r="G24" s="23">
        <f>'Truck Emissions'!W28</f>
        <v>9826.5872248513151</v>
      </c>
      <c r="H24" s="23">
        <f>'Truck Diversion Impacts'!AH25</f>
        <v>47059.418341499942</v>
      </c>
      <c r="I24" s="23">
        <f>'Truck Crashes'!L28</f>
        <v>68554.186663371554</v>
      </c>
      <c r="J24" s="23">
        <f>'Truck Diversion Impacts'!AN25</f>
        <v>328305.24732880411</v>
      </c>
      <c r="K24" s="23">
        <f>'Truck Pavement'!D27</f>
        <v>36300.502652244992</v>
      </c>
      <c r="L24" s="23">
        <f>'Truck Diversion Impacts'!AQ25</f>
        <v>173842.70868715286</v>
      </c>
      <c r="M24" s="23">
        <f>'Auto VMT Savings'!E24</f>
        <v>2025.0872323311087</v>
      </c>
      <c r="N24" s="23">
        <f>'Auto safety'!O26</f>
        <v>1149.1797664745263</v>
      </c>
      <c r="O24" s="23">
        <f>'Auto Emissions'!T25</f>
        <v>120.37943836714255</v>
      </c>
      <c r="P24" s="23">
        <f>'Summary Undisc'!P24*Discounting!C29</f>
        <v>-108159.14348231968</v>
      </c>
      <c r="Q24" s="23">
        <f t="shared" si="0"/>
        <v>4268735.3302811226</v>
      </c>
      <c r="R24" s="23">
        <f>Costs!F24</f>
        <v>0</v>
      </c>
      <c r="S24" s="23">
        <f>'Operating Benefits'!L26+'Vessel Env. Impacts'!J24+'Truck Diversion Impacts'!I26+'Truck Emissions'!W28+'Truck Crashes'!L28+'Truck Pavement'!D27+'Auto VMT Savings'!E24+'Auto safety'!O26+'Auto Emissions'!T25+P24+'Truck Diversion Impacts'!AA25+'Truck Diversion Impacts'!AH25+'Truck Diversion Impacts'!AN25+'Truck Diversion Impacts'!AQ25</f>
        <v>4268735.3302811235</v>
      </c>
    </row>
    <row r="25" spans="1:19" x14ac:dyDescent="0.25">
      <c r="A25">
        <f>Costs!B25</f>
        <v>2039</v>
      </c>
      <c r="B25" s="23">
        <f>Costs!E25</f>
        <v>0</v>
      </c>
      <c r="C25" s="23">
        <f>'Operating Benefits'!L27</f>
        <v>940207.09862343909</v>
      </c>
      <c r="D25" s="23">
        <f>'Vessel Env. Impacts'!J25</f>
        <v>49443.162351952946</v>
      </c>
      <c r="E25" s="23">
        <f>'Truck Diversion Impacts'!I27</f>
        <v>427945.10764368688</v>
      </c>
      <c r="F25" s="23">
        <f>'Truck Diversion Impacts'!AA26</f>
        <v>2049424.4224354506</v>
      </c>
      <c r="G25" s="23">
        <f>'Truck Emissions'!W29</f>
        <v>9078.0476586106743</v>
      </c>
      <c r="H25" s="23">
        <f>'Truck Diversion Impacts'!AH26</f>
        <v>43474.670576396136</v>
      </c>
      <c r="I25" s="23">
        <f>'Truck Crashes'!L29</f>
        <v>64069.333330253787</v>
      </c>
      <c r="J25" s="23">
        <f>'Truck Diversion Impacts'!AN26</f>
        <v>306827.33395215339</v>
      </c>
      <c r="K25" s="23">
        <f>'Truck Pavement'!D28</f>
        <v>33925.70341331308</v>
      </c>
      <c r="L25" s="23">
        <f>'Truck Diversion Impacts'!AQ26</f>
        <v>162469.82120294659</v>
      </c>
      <c r="M25" s="23">
        <f>'Auto VMT Savings'!E25</f>
        <v>1892.6048900290734</v>
      </c>
      <c r="N25" s="23">
        <f>'Auto safety'!O27</f>
        <v>1073.9997817518938</v>
      </c>
      <c r="O25" s="23">
        <f>'Auto Emissions'!T26</f>
        <v>103.10776075924495</v>
      </c>
      <c r="P25" s="23">
        <f>'Summary Undisc'!P25*Discounting!C30</f>
        <v>-101083.31166571933</v>
      </c>
      <c r="Q25" s="23">
        <f t="shared" si="0"/>
        <v>3988851.1019550236</v>
      </c>
      <c r="R25" s="23">
        <f>Costs!F25</f>
        <v>0</v>
      </c>
      <c r="S25" s="23">
        <f>'Operating Benefits'!L27+'Vessel Env. Impacts'!J25+'Truck Diversion Impacts'!I27+'Truck Emissions'!W29+'Truck Crashes'!L29+'Truck Pavement'!D28+'Auto VMT Savings'!E25+'Auto safety'!O27+'Auto Emissions'!T26+P25+'Truck Diversion Impacts'!AA26+'Truck Diversion Impacts'!AH26+'Truck Diversion Impacts'!AN26+'Truck Diversion Impacts'!AQ26</f>
        <v>3988851.1019550245</v>
      </c>
    </row>
    <row r="26" spans="1:19" x14ac:dyDescent="0.25">
      <c r="A26">
        <f>Costs!B26</f>
        <v>2040</v>
      </c>
      <c r="B26" s="23">
        <f>Costs!E26</f>
        <v>0</v>
      </c>
      <c r="C26" s="23">
        <f>'Operating Benefits'!L28</f>
        <v>878698.22301255981</v>
      </c>
      <c r="D26" s="23">
        <f>'Vessel Env. Impacts'!J26</f>
        <v>46208.562945750418</v>
      </c>
      <c r="E26" s="23">
        <f>'Truck Diversion Impacts'!I28</f>
        <v>399948.6987324176</v>
      </c>
      <c r="F26" s="23">
        <f>'Truck Diversion Impacts'!AA27</f>
        <v>1915349.9275097668</v>
      </c>
      <c r="G26" s="23">
        <f>'Truck Emissions'!W30</f>
        <v>8385.3915316407802</v>
      </c>
      <c r="H26" s="23">
        <f>'Truck Diversion Impacts'!AH27</f>
        <v>40157.54798845997</v>
      </c>
      <c r="I26" s="23">
        <f>'Truck Crashes'!L30</f>
        <v>59877.881617059611</v>
      </c>
      <c r="J26" s="23">
        <f>'Truck Diversion Impacts'!AN27</f>
        <v>286754.51771229284</v>
      </c>
      <c r="K26" s="23">
        <f>'Truck Pavement'!D29</f>
        <v>31706.264872255208</v>
      </c>
      <c r="L26" s="23">
        <f>'Truck Diversion Impacts'!AQ27</f>
        <v>151840.95439527719</v>
      </c>
      <c r="M26" s="23">
        <f>'Auto VMT Savings'!E26</f>
        <v>1768.7896168496013</v>
      </c>
      <c r="N26" s="23">
        <f>'Auto safety'!O28</f>
        <v>1003.7381137868166</v>
      </c>
      <c r="O26" s="23">
        <f>'Auto Emissions'!T27</f>
        <v>87.951631520812853</v>
      </c>
      <c r="P26" s="23">
        <f>'Summary Undisc'!P26*Discounting!C31</f>
        <v>-94470.384734317122</v>
      </c>
      <c r="Q26" s="23">
        <f t="shared" si="0"/>
        <v>3727318.0649453206</v>
      </c>
      <c r="R26" s="23">
        <f>Costs!F26</f>
        <v>0</v>
      </c>
      <c r="S26" s="23">
        <f>'Operating Benefits'!L28+'Vessel Env. Impacts'!J26+'Truck Diversion Impacts'!I28+'Truck Emissions'!W30+'Truck Crashes'!L30+'Truck Pavement'!D29+'Auto VMT Savings'!E26+'Auto safety'!O28+'Auto Emissions'!T27+P26+'Truck Diversion Impacts'!AA27+'Truck Diversion Impacts'!AH27+'Truck Diversion Impacts'!AN27+'Truck Diversion Impacts'!AQ27</f>
        <v>3727318.0649453206</v>
      </c>
    </row>
    <row r="27" spans="1:19" x14ac:dyDescent="0.25">
      <c r="A27">
        <f>Costs!B27</f>
        <v>2041</v>
      </c>
      <c r="B27" s="23">
        <f>Costs!E27</f>
        <v>0</v>
      </c>
      <c r="C27" s="23">
        <f>'Operating Benefits'!L29</f>
        <v>821213.29253510269</v>
      </c>
      <c r="D27" s="23">
        <f>'Vessel Env. Impacts'!J27</f>
        <v>43185.572846495714</v>
      </c>
      <c r="E27" s="23">
        <f>'Truck Diversion Impacts'!I29</f>
        <v>373783.83059104451</v>
      </c>
      <c r="F27" s="23">
        <f>'Truck Diversion Impacts'!AA28</f>
        <v>1790046.6612240812</v>
      </c>
      <c r="G27" s="23">
        <f>'Truck Emissions'!W31</f>
        <v>7745.8761077201216</v>
      </c>
      <c r="H27" s="23">
        <f>'Truck Diversion Impacts'!AH28</f>
        <v>37094.915644036919</v>
      </c>
      <c r="I27" s="23">
        <f>'Truck Crashes'!L31</f>
        <v>55960.637025289354</v>
      </c>
      <c r="J27" s="23">
        <f>'Truck Diversion Impacts'!AN28</f>
        <v>267994.87636662886</v>
      </c>
      <c r="K27" s="23">
        <f>'Truck Pavement'!D30</f>
        <v>29632.023245098328</v>
      </c>
      <c r="L27" s="23">
        <f>'Truck Diversion Impacts'!AQ28</f>
        <v>141907.43401427774</v>
      </c>
      <c r="M27" s="23">
        <f>'Auto VMT Savings'!E27</f>
        <v>1653.0744082706553</v>
      </c>
      <c r="N27" s="23">
        <f>'Auto safety'!O29</f>
        <v>938.0730035390809</v>
      </c>
      <c r="O27" s="23">
        <f>'Auto Emissions'!T28</f>
        <v>75.190523217550009</v>
      </c>
      <c r="P27" s="23">
        <f>'Summary Undisc'!P27*Discounting!C32</f>
        <v>-88290.079190950579</v>
      </c>
      <c r="Q27" s="23">
        <f t="shared" si="0"/>
        <v>3482941.3783438522</v>
      </c>
      <c r="R27" s="23">
        <f>Costs!F27</f>
        <v>0</v>
      </c>
      <c r="S27" s="23">
        <f>'Operating Benefits'!L29+'Vessel Env. Impacts'!J27+'Truck Diversion Impacts'!I29+'Truck Emissions'!W31+'Truck Crashes'!L31+'Truck Pavement'!D30+'Auto VMT Savings'!E27+'Auto safety'!O29+'Auto Emissions'!T28+P27+'Truck Diversion Impacts'!AA28+'Truck Diversion Impacts'!AH28+'Truck Diversion Impacts'!AN28+'Truck Diversion Impacts'!AQ28</f>
        <v>3482941.3783438522</v>
      </c>
    </row>
    <row r="28" spans="1:19" x14ac:dyDescent="0.25">
      <c r="A28">
        <f>Costs!B28</f>
        <v>2042</v>
      </c>
      <c r="B28" s="23">
        <f>Costs!E28</f>
        <v>0</v>
      </c>
      <c r="C28" s="23">
        <f>'Operating Benefits'!L30</f>
        <v>767489.05844402104</v>
      </c>
      <c r="D28" s="23">
        <f>'Vessel Env. Impacts'!J28</f>
        <v>40360.348454668885</v>
      </c>
      <c r="E28" s="23">
        <f>'Truck Diversion Impacts'!I30</f>
        <v>349330.68279536866</v>
      </c>
      <c r="F28" s="23">
        <f>'Truck Diversion Impacts'!AA29</f>
        <v>1672940.8048823187</v>
      </c>
      <c r="G28" s="23">
        <f>'Truck Emissions'!W32</f>
        <v>7155.4016641324861</v>
      </c>
      <c r="H28" s="23">
        <f>'Truck Diversion Impacts'!AH29</f>
        <v>34267.140016046673</v>
      </c>
      <c r="I28" s="23">
        <f>'Truck Crashes'!L32</f>
        <v>52299.660771298455</v>
      </c>
      <c r="J28" s="23">
        <f>'Truck Diversion Impacts'!AN29</f>
        <v>250462.50127722317</v>
      </c>
      <c r="K28" s="23">
        <f>'Truck Pavement'!D31</f>
        <v>27693.479668316191</v>
      </c>
      <c r="L28" s="23">
        <f>'Truck Diversion Impacts'!AQ29</f>
        <v>132623.77010680162</v>
      </c>
      <c r="M28" s="23">
        <f>'Auto VMT Savings'!E28</f>
        <v>1544.9293535239767</v>
      </c>
      <c r="N28" s="23">
        <f>'Auto safety'!O30</f>
        <v>876.70374162530914</v>
      </c>
      <c r="O28" s="23">
        <f>'Auto Emissions'!T29</f>
        <v>57.012759673111198</v>
      </c>
      <c r="P28" s="23">
        <f>'Summary Undisc'!P28*Discounting!C33</f>
        <v>-82514.092701822956</v>
      </c>
      <c r="Q28" s="23">
        <f t="shared" si="0"/>
        <v>3254587.4012331953</v>
      </c>
      <c r="R28" s="23">
        <f>Costs!F28</f>
        <v>0</v>
      </c>
      <c r="S28" s="23">
        <f>'Operating Benefits'!L30+'Vessel Env. Impacts'!J28+'Truck Diversion Impacts'!I30+'Truck Emissions'!W32+'Truck Crashes'!L32+'Truck Pavement'!D31+'Auto VMT Savings'!E28+'Auto safety'!O30+'Auto Emissions'!T29+P28+'Truck Diversion Impacts'!AA29+'Truck Diversion Impacts'!AH29+'Truck Diversion Impacts'!AN29+'Truck Diversion Impacts'!AQ29</f>
        <v>3254587.4012331958</v>
      </c>
    </row>
    <row r="29" spans="1:19" x14ac:dyDescent="0.25">
      <c r="A29">
        <f>Costs!B29</f>
        <v>2043</v>
      </c>
      <c r="B29" s="23">
        <f>Costs!E29</f>
        <v>0</v>
      </c>
      <c r="C29" s="23">
        <f>'Operating Benefits'!L31</f>
        <v>717279.49387291702</v>
      </c>
      <c r="D29" s="23">
        <f>'Vessel Env. Impacts'!J29</f>
        <v>37719.95182679336</v>
      </c>
      <c r="E29" s="23">
        <f>'Truck Diversion Impacts'!I31</f>
        <v>326477.27364053152</v>
      </c>
      <c r="F29" s="23">
        <f>'Truck Diversion Impacts'!AA30</f>
        <v>1563496.0793292699</v>
      </c>
      <c r="G29" s="23">
        <f>'Truck Emissions'!W33</f>
        <v>6610.1865396003168</v>
      </c>
      <c r="H29" s="23">
        <f>'Truck Diversion Impacts'!AH30</f>
        <v>31656.110770146846</v>
      </c>
      <c r="I29" s="23">
        <f>'Truck Crashes'!L33</f>
        <v>48878.18763672754</v>
      </c>
      <c r="J29" s="23">
        <f>'Truck Diversion Impacts'!AN30</f>
        <v>234077.10399740489</v>
      </c>
      <c r="K29" s="23">
        <f>'Truck Pavement'!D32</f>
        <v>25881.756699360929</v>
      </c>
      <c r="L29" s="23">
        <f>'Truck Diversion Impacts'!AQ30</f>
        <v>123947.44869794545</v>
      </c>
      <c r="M29" s="23">
        <f>'Auto VMT Savings'!E29</f>
        <v>1443.8592089009132</v>
      </c>
      <c r="N29" s="23">
        <f>'Auto safety'!O31</f>
        <v>819.34929123860684</v>
      </c>
      <c r="O29" s="23">
        <f>'Auto Emissions'!T30</f>
        <v>42.591489935399451</v>
      </c>
      <c r="P29" s="23">
        <f>'Summary Undisc'!P29*Discounting!C34</f>
        <v>-77115.974487685031</v>
      </c>
      <c r="Q29" s="23">
        <f t="shared" si="0"/>
        <v>3041213.4185130871</v>
      </c>
      <c r="R29" s="23">
        <f>Costs!F29</f>
        <v>0</v>
      </c>
      <c r="S29" s="23">
        <f>'Operating Benefits'!L31+'Vessel Env. Impacts'!J29+'Truck Diversion Impacts'!I31+'Truck Emissions'!W33+'Truck Crashes'!L33+'Truck Pavement'!D32+'Auto VMT Savings'!E29+'Auto safety'!O31+'Auto Emissions'!T30+P29+'Truck Diversion Impacts'!AA30+'Truck Diversion Impacts'!AH30+'Truck Diversion Impacts'!AN30+'Truck Diversion Impacts'!AQ30</f>
        <v>3041213.4185130876</v>
      </c>
    </row>
    <row r="30" spans="1:19" x14ac:dyDescent="0.25">
      <c r="A30">
        <f>Costs!B30</f>
        <v>2044</v>
      </c>
      <c r="B30" s="23">
        <f>Costs!E30</f>
        <v>0</v>
      </c>
      <c r="C30" s="23">
        <f>'Operating Benefits'!L32</f>
        <v>670354.66717095033</v>
      </c>
      <c r="D30" s="23">
        <f>'Vessel Env. Impacts'!J30</f>
        <v>35252.291426909673</v>
      </c>
      <c r="E30" s="23">
        <f>'Truck Diversion Impacts'!I32</f>
        <v>305118.94732759945</v>
      </c>
      <c r="F30" s="23">
        <f>'Truck Diversion Impacts'!AA31</f>
        <v>1461211.2890927754</v>
      </c>
      <c r="G30" s="23">
        <f>'Truck Emissions'!W34</f>
        <v>6106.7423208936034</v>
      </c>
      <c r="H30" s="23">
        <f>'Truck Diversion Impacts'!AH31</f>
        <v>29245.121933675466</v>
      </c>
      <c r="I30" s="23">
        <f>'Truck Crashes'!L34</f>
        <v>45680.549193203296</v>
      </c>
      <c r="J30" s="23">
        <f>'Truck Diversion Impacts'!AN31</f>
        <v>218763.64859570545</v>
      </c>
      <c r="K30" s="23">
        <f>'Truck Pavement'!D33</f>
        <v>24188.557662954136</v>
      </c>
      <c r="L30" s="23">
        <f>'Truck Diversion Impacts'!AQ31</f>
        <v>115838.73710088358</v>
      </c>
      <c r="M30" s="23">
        <f>'Auto VMT Savings'!E30</f>
        <v>1349.4011298139371</v>
      </c>
      <c r="N30" s="23">
        <f>'Auto safety'!O32</f>
        <v>765.74700115757628</v>
      </c>
      <c r="O30" s="23">
        <f>'Auto Emissions'!T31</f>
        <v>35.975440023450979</v>
      </c>
      <c r="P30" s="23">
        <f>'Summary Undisc'!P30*Discounting!C35</f>
        <v>-72071.004194098132</v>
      </c>
      <c r="Q30" s="23">
        <f t="shared" si="0"/>
        <v>2841840.6712024473</v>
      </c>
      <c r="R30" s="23">
        <f>Costs!F30</f>
        <v>0</v>
      </c>
      <c r="S30" s="23">
        <f>'Operating Benefits'!L32+'Vessel Env. Impacts'!J30+'Truck Diversion Impacts'!I32+'Truck Emissions'!W34+'Truck Crashes'!L34+'Truck Pavement'!D33+'Auto VMT Savings'!E30+'Auto safety'!O32+'Auto Emissions'!T31+P30+'Truck Diversion Impacts'!AA31+'Truck Diversion Impacts'!AH31+'Truck Diversion Impacts'!AN31+'Truck Diversion Impacts'!AQ31</f>
        <v>2841840.6712024468</v>
      </c>
    </row>
    <row r="31" spans="1:19" x14ac:dyDescent="0.25">
      <c r="A31">
        <f>Costs!B31</f>
        <v>2045</v>
      </c>
      <c r="B31" s="23">
        <f>Costs!E31</f>
        <v>0</v>
      </c>
      <c r="C31" s="23">
        <f>'Operating Benefits'!L33</f>
        <v>626499.68894481345</v>
      </c>
      <c r="D31" s="23">
        <f>'Vessel Env. Impacts'!J31</f>
        <v>32946.066754121195</v>
      </c>
      <c r="E31" s="23">
        <f>'Truck Diversion Impacts'!I33</f>
        <v>285157.89469869115</v>
      </c>
      <c r="F31" s="23">
        <f>'Truck Diversion Impacts'!AA32</f>
        <v>1365618.0271895099</v>
      </c>
      <c r="G31" s="23">
        <f>'Truck Emissions'!W35</f>
        <v>5641.8509759024055</v>
      </c>
      <c r="H31" s="23">
        <f>'Truck Diversion Impacts'!AH32</f>
        <v>27018.762386186245</v>
      </c>
      <c r="I31" s="23">
        <f>'Truck Crashes'!L35</f>
        <v>42692.102049722715</v>
      </c>
      <c r="J31" s="23">
        <f>'Truck Diversion Impacts'!AN32</f>
        <v>204452.00803336961</v>
      </c>
      <c r="K31" s="23">
        <f>'Truck Pavement'!D34</f>
        <v>22606.128656966484</v>
      </c>
      <c r="L31" s="23">
        <f>'Truck Diversion Impacts'!AQ32</f>
        <v>108260.5019634426</v>
      </c>
      <c r="M31" s="23">
        <f>'Auto VMT Savings'!E31</f>
        <v>1261.1225512279789</v>
      </c>
      <c r="N31" s="23">
        <f>'Auto safety'!O33</f>
        <v>715.65140295100593</v>
      </c>
      <c r="O31" s="23">
        <f>'Auto Emissions'!T32</f>
        <v>28.409211365052265</v>
      </c>
      <c r="P31" s="23">
        <f>'Summary Undisc'!P31*Discounting!C36</f>
        <v>-67356.07868607303</v>
      </c>
      <c r="Q31" s="23">
        <f t="shared" si="0"/>
        <v>2655542.136132197</v>
      </c>
      <c r="R31" s="23">
        <f>Costs!F31</f>
        <v>0</v>
      </c>
      <c r="S31" s="23">
        <f>'Operating Benefits'!L33+'Vessel Env. Impacts'!J31+'Truck Diversion Impacts'!I33+'Truck Emissions'!W35+'Truck Crashes'!L35+'Truck Pavement'!D34+'Auto VMT Savings'!E31+'Auto safety'!O33+'Auto Emissions'!T32+P31+'Truck Diversion Impacts'!AA32+'Truck Diversion Impacts'!AH32+'Truck Diversion Impacts'!AN32+'Truck Diversion Impacts'!AQ32</f>
        <v>2655542.1361321965</v>
      </c>
    </row>
    <row r="32" spans="1:19" x14ac:dyDescent="0.25">
      <c r="A32">
        <f>Costs!B32</f>
        <v>2046</v>
      </c>
      <c r="B32" s="23">
        <f>Costs!E32</f>
        <v>0</v>
      </c>
      <c r="C32" s="23">
        <f>'Operating Benefits'!L34</f>
        <v>585513.727985807</v>
      </c>
      <c r="D32" s="23">
        <f>'Vessel Env. Impacts'!J32</f>
        <v>30790.716592636632</v>
      </c>
      <c r="E32" s="23">
        <f>'Truck Diversion Impacts'!I34</f>
        <v>266502.70532587956</v>
      </c>
      <c r="F32" s="23">
        <f>'Truck Diversion Impacts'!AA33</f>
        <v>1276278.5300836542</v>
      </c>
      <c r="G32" s="23">
        <f>'Truck Emissions'!W36</f>
        <v>5272.757921404117</v>
      </c>
      <c r="H32" s="23">
        <f>'Truck Diversion Impacts'!AH33</f>
        <v>25251.179800174061</v>
      </c>
      <c r="I32" s="23">
        <f>'Truck Crashes'!L36</f>
        <v>39899.160794133379</v>
      </c>
      <c r="J32" s="23">
        <f>'Truck Diversion Impacts'!AN33</f>
        <v>191076.64302184078</v>
      </c>
      <c r="K32" s="23">
        <f>'Truck Pavement'!D35</f>
        <v>21127.223043893911</v>
      </c>
      <c r="L32" s="23">
        <f>'Truck Diversion Impacts'!AQ33</f>
        <v>101178.03921817067</v>
      </c>
      <c r="M32" s="23">
        <f>'Auto VMT Savings'!E32</f>
        <v>1178.6192067551206</v>
      </c>
      <c r="N32" s="23">
        <f>'Auto safety'!O34</f>
        <v>668.83308687009912</v>
      </c>
      <c r="O32" s="23">
        <f>'Auto Emissions'!T33</f>
        <v>20.807981556831798</v>
      </c>
      <c r="P32" s="23">
        <f>'Summary Undisc'!P32*Discounting!C37</f>
        <v>-62949.606248666394</v>
      </c>
      <c r="Q32" s="23">
        <f t="shared" si="0"/>
        <v>2481809.3378141094</v>
      </c>
      <c r="R32" s="23">
        <f>Costs!F32</f>
        <v>0</v>
      </c>
      <c r="S32" s="23">
        <f>'Operating Benefits'!L34+'Vessel Env. Impacts'!J32+'Truck Diversion Impacts'!I34+'Truck Emissions'!W36+'Truck Crashes'!L36+'Truck Pavement'!D35+'Auto VMT Savings'!E32+'Auto safety'!O34+'Auto Emissions'!T33+P32+'Truck Diversion Impacts'!AA33+'Truck Diversion Impacts'!AH33+'Truck Diversion Impacts'!AN33+'Truck Diversion Impacts'!AQ33</f>
        <v>2481809.3378141099</v>
      </c>
    </row>
    <row r="33" spans="1:20" x14ac:dyDescent="0.25">
      <c r="A33">
        <f>Costs!B33</f>
        <v>2047</v>
      </c>
      <c r="B33" s="23">
        <f>Costs!E33</f>
        <v>49868866.355513029</v>
      </c>
      <c r="C33" s="23">
        <f>'Operating Benefits'!L35</f>
        <v>547209.09157552058</v>
      </c>
      <c r="D33" s="23">
        <f>'Vessel Env. Impacts'!J33</f>
        <v>28776.370647323958</v>
      </c>
      <c r="E33" s="23">
        <f>'Truck Diversion Impacts'!I35</f>
        <v>249067.94890269122</v>
      </c>
      <c r="F33" s="23">
        <f>'Truck Diversion Impacts'!AA34</f>
        <v>1192783.6729753779</v>
      </c>
      <c r="G33" s="23">
        <f>'Truck Emissions'!W37</f>
        <v>4927.8111414991754</v>
      </c>
      <c r="H33" s="23">
        <f>'Truck Diversion Impacts'!AH34</f>
        <v>23599.233458106602</v>
      </c>
      <c r="I33" s="23">
        <f>'Truck Crashes'!L37</f>
        <v>37288.935321619982</v>
      </c>
      <c r="J33" s="23">
        <f>'Truck Diversion Impacts'!AN34</f>
        <v>178576.30188957081</v>
      </c>
      <c r="K33" s="23">
        <f>'Truck Pavement'!D36</f>
        <v>19745.068265321413</v>
      </c>
      <c r="L33" s="23">
        <f>'Truck Diversion Impacts'!AQ34</f>
        <v>94558.915157168856</v>
      </c>
      <c r="M33" s="23">
        <f>'Auto VMT Savings'!E33</f>
        <v>1101.5132773412342</v>
      </c>
      <c r="N33" s="23">
        <f>'Auto safety'!O35</f>
        <v>625.07765128046651</v>
      </c>
      <c r="O33" s="23">
        <f>'Auto Emissions'!T34</f>
        <v>16.858217112629653</v>
      </c>
      <c r="P33" s="23">
        <f>'Summary Undisc'!P33*Discounting!C38</f>
        <v>-58831.407709034014</v>
      </c>
      <c r="Q33" s="23">
        <f t="shared" si="0"/>
        <v>2319445.3907709001</v>
      </c>
      <c r="R33" s="23">
        <f>Costs!F33</f>
        <v>6551129.2088912623</v>
      </c>
      <c r="S33" s="23">
        <f>'Operating Benefits'!L35+'Vessel Env. Impacts'!J33+'Truck Diversion Impacts'!I35+'Truck Emissions'!W37+'Truck Crashes'!L37+'Truck Pavement'!D36+'Auto VMT Savings'!E33+'Auto safety'!O35+'Auto Emissions'!T34+P33+'Truck Diversion Impacts'!AA34+'Truck Diversion Impacts'!AH34+'Truck Diversion Impacts'!AN34+'Truck Diversion Impacts'!AQ34</f>
        <v>2319445.3907709005</v>
      </c>
    </row>
    <row r="34" spans="1:20" x14ac:dyDescent="0.25">
      <c r="A34">
        <f>Costs!B34</f>
        <v>2048</v>
      </c>
      <c r="B34" s="23">
        <f>Costs!E34</f>
        <v>0</v>
      </c>
      <c r="C34" s="23">
        <f>'Operating Benefits'!L36</f>
        <v>0</v>
      </c>
      <c r="D34" s="23">
        <f>'Vessel Env. Impacts'!J34</f>
        <v>0</v>
      </c>
      <c r="E34" s="23">
        <f>'Truck Diversion Impacts'!I36</f>
        <v>0</v>
      </c>
      <c r="F34" s="23">
        <f>'Truck Diversion Impacts'!AA35</f>
        <v>0</v>
      </c>
      <c r="G34" s="23">
        <f>'Truck Emissions'!W38</f>
        <v>0</v>
      </c>
      <c r="H34" s="23">
        <f>'Truck Diversion Impacts'!AH35</f>
        <v>0</v>
      </c>
      <c r="I34" s="23">
        <f>'Truck Crashes'!L38</f>
        <v>0</v>
      </c>
      <c r="J34" s="23">
        <f>'Truck Diversion Impacts'!AN35</f>
        <v>0</v>
      </c>
      <c r="K34" s="23">
        <f>'Truck Pavement'!D37</f>
        <v>0</v>
      </c>
      <c r="L34" s="23">
        <f>'Truck Diversion Impacts'!AQ35</f>
        <v>0</v>
      </c>
      <c r="M34" s="23">
        <f>'Auto VMT Savings'!E34</f>
        <v>0</v>
      </c>
      <c r="N34" s="23">
        <f>'Auto safety'!O36</f>
        <v>0</v>
      </c>
      <c r="O34" s="23">
        <f>'Auto Emissions'!T35</f>
        <v>0</v>
      </c>
      <c r="P34" s="23">
        <f>'Summary Undisc'!P34*Discounting!C39</f>
        <v>0</v>
      </c>
      <c r="Q34" s="23">
        <f t="shared" si="0"/>
        <v>0</v>
      </c>
      <c r="R34" s="23">
        <f>Costs!F34</f>
        <v>0</v>
      </c>
      <c r="S34" s="23">
        <f>'Operating Benefits'!L36+'Vessel Env. Impacts'!J34+'Truck Diversion Impacts'!I36+'Truck Emissions'!W38+'Truck Crashes'!L38+'Truck Pavement'!D37+'Auto VMT Savings'!E34+'Auto safety'!O36+'Auto Emissions'!T35+P34+'Truck Diversion Impacts'!AA35+'Truck Diversion Impacts'!AH35+'Truck Diversion Impacts'!AN35+'Truck Diversion Impacts'!AQ35</f>
        <v>0</v>
      </c>
    </row>
    <row r="35" spans="1:20" x14ac:dyDescent="0.25">
      <c r="A35">
        <f>Costs!B35</f>
        <v>2049</v>
      </c>
      <c r="B35" s="23">
        <f>Costs!E35</f>
        <v>0</v>
      </c>
      <c r="C35" s="23">
        <f>'Operating Benefits'!L37</f>
        <v>0</v>
      </c>
      <c r="D35" s="23">
        <f>'Vessel Env. Impacts'!J35</f>
        <v>0</v>
      </c>
      <c r="E35" s="23">
        <f>'Truck Diversion Impacts'!I37</f>
        <v>0</v>
      </c>
      <c r="F35" s="23">
        <f>'Truck Diversion Impacts'!AA36</f>
        <v>0</v>
      </c>
      <c r="G35" s="23">
        <f>'Truck Emissions'!W39</f>
        <v>0</v>
      </c>
      <c r="H35" s="23">
        <f>'Truck Diversion Impacts'!AH36</f>
        <v>0</v>
      </c>
      <c r="I35" s="23">
        <f>'Truck Crashes'!L39</f>
        <v>0</v>
      </c>
      <c r="J35" s="23">
        <f>'Truck Diversion Impacts'!AN36</f>
        <v>0</v>
      </c>
      <c r="K35" s="23">
        <f>'Truck Pavement'!D38</f>
        <v>0</v>
      </c>
      <c r="L35" s="23">
        <f>'Truck Diversion Impacts'!AQ36</f>
        <v>0</v>
      </c>
      <c r="M35" s="23">
        <f>'Auto VMT Savings'!E35</f>
        <v>0</v>
      </c>
      <c r="N35" s="23">
        <f>'Auto safety'!O37</f>
        <v>0</v>
      </c>
      <c r="O35" s="23">
        <f>'Auto Emissions'!T36</f>
        <v>0</v>
      </c>
      <c r="P35" s="23">
        <f>'Summary Undisc'!P35*Discounting!C40</f>
        <v>0</v>
      </c>
      <c r="Q35" s="23">
        <f t="shared" si="0"/>
        <v>0</v>
      </c>
      <c r="R35" s="23">
        <f>Costs!F35</f>
        <v>0</v>
      </c>
      <c r="S35" s="23">
        <f>'Operating Benefits'!L37+'Vessel Env. Impacts'!J35+'Truck Diversion Impacts'!I37+'Truck Emissions'!W39+'Truck Crashes'!L39+'Truck Pavement'!D38+'Auto VMT Savings'!E35+'Auto safety'!O37+'Auto Emissions'!T36+P35+'Truck Diversion Impacts'!AA36+'Truck Diversion Impacts'!AH36+'Truck Diversion Impacts'!AN36+'Truck Diversion Impacts'!AQ36</f>
        <v>0</v>
      </c>
    </row>
    <row r="36" spans="1:20" x14ac:dyDescent="0.25">
      <c r="A36">
        <f>Costs!B36</f>
        <v>2050</v>
      </c>
      <c r="B36" s="23">
        <f>Costs!E36</f>
        <v>0</v>
      </c>
      <c r="C36" s="23">
        <f>'Operating Benefits'!L38</f>
        <v>0</v>
      </c>
      <c r="D36" s="23">
        <f>'Vessel Env. Impacts'!J36</f>
        <v>0</v>
      </c>
      <c r="E36" s="23">
        <f>'Truck Diversion Impacts'!I38</f>
        <v>0</v>
      </c>
      <c r="F36" s="23">
        <f>'Truck Diversion Impacts'!AA37</f>
        <v>0</v>
      </c>
      <c r="G36" s="23">
        <f>'Truck Emissions'!W40</f>
        <v>0</v>
      </c>
      <c r="H36" s="23">
        <f>'Truck Diversion Impacts'!AH37</f>
        <v>0</v>
      </c>
      <c r="I36" s="23">
        <f>'Truck Crashes'!L40</f>
        <v>0</v>
      </c>
      <c r="J36" s="23">
        <f>'Truck Diversion Impacts'!AN37</f>
        <v>0</v>
      </c>
      <c r="K36" s="23">
        <f>'Truck Pavement'!D39</f>
        <v>0</v>
      </c>
      <c r="L36" s="23">
        <f>'Truck Diversion Impacts'!AQ37</f>
        <v>0</v>
      </c>
      <c r="M36" s="23">
        <f>'Auto VMT Savings'!E36</f>
        <v>0</v>
      </c>
      <c r="N36" s="23">
        <f>'Auto safety'!O38</f>
        <v>0</v>
      </c>
      <c r="O36" s="23">
        <f>'Auto Emissions'!T37</f>
        <v>0</v>
      </c>
      <c r="P36" s="23">
        <f>'Summary Undisc'!P36*Discounting!C41</f>
        <v>0</v>
      </c>
      <c r="Q36" s="23">
        <f t="shared" si="0"/>
        <v>0</v>
      </c>
      <c r="R36" s="23">
        <f>Costs!F36</f>
        <v>0</v>
      </c>
      <c r="S36" s="23">
        <f>'Operating Benefits'!L38+'Vessel Env. Impacts'!J36+'Truck Diversion Impacts'!I38+'Truck Emissions'!W40+'Truck Crashes'!L40+'Truck Pavement'!D39+'Auto VMT Savings'!E36+'Auto safety'!O38+'Auto Emissions'!T37+P36+'Truck Diversion Impacts'!AA37+'Truck Diversion Impacts'!AH37+'Truck Diversion Impacts'!AN37+'Truck Diversion Impacts'!AQ37</f>
        <v>0</v>
      </c>
    </row>
    <row r="37" spans="1:20" x14ac:dyDescent="0.25">
      <c r="A37">
        <f>Costs!B37</f>
        <v>2051</v>
      </c>
      <c r="B37" s="23">
        <f>Costs!E37</f>
        <v>0</v>
      </c>
      <c r="C37" s="23">
        <f>'Operating Benefits'!L39</f>
        <v>0</v>
      </c>
      <c r="D37" s="23">
        <f>'Vessel Env. Impacts'!J37</f>
        <v>0</v>
      </c>
      <c r="E37" s="23">
        <f>'Truck Diversion Impacts'!I39</f>
        <v>0</v>
      </c>
      <c r="F37" s="23">
        <f>'Truck Diversion Impacts'!AA38</f>
        <v>0</v>
      </c>
      <c r="G37" s="23">
        <f>'Truck Emissions'!W41</f>
        <v>0</v>
      </c>
      <c r="H37" s="23">
        <f>'Truck Diversion Impacts'!AH38</f>
        <v>0</v>
      </c>
      <c r="I37" s="23">
        <f>'Truck Crashes'!L41</f>
        <v>0</v>
      </c>
      <c r="J37" s="23">
        <f>'Truck Diversion Impacts'!AN38</f>
        <v>0</v>
      </c>
      <c r="K37" s="23">
        <f>'Truck Pavement'!D40</f>
        <v>0</v>
      </c>
      <c r="L37" s="23">
        <f>'Truck Diversion Impacts'!AQ38</f>
        <v>0</v>
      </c>
      <c r="M37" s="23">
        <f>'Auto VMT Savings'!E37</f>
        <v>0</v>
      </c>
      <c r="N37" s="23">
        <f>'Auto safety'!O39</f>
        <v>0</v>
      </c>
      <c r="O37" s="23">
        <f>'Auto Emissions'!T38</f>
        <v>0</v>
      </c>
      <c r="P37" s="23">
        <f>'Summary Undisc'!P37*Discounting!C42</f>
        <v>0</v>
      </c>
      <c r="Q37" s="23">
        <f t="shared" si="0"/>
        <v>0</v>
      </c>
      <c r="R37" s="23">
        <f>Costs!F37</f>
        <v>0</v>
      </c>
      <c r="S37" s="23">
        <f>'Operating Benefits'!L39+'Vessel Env. Impacts'!J37+'Truck Diversion Impacts'!I39+'Truck Emissions'!W41+'Truck Crashes'!L41+'Truck Pavement'!D40+'Auto VMT Savings'!E37+'Auto safety'!O39+'Auto Emissions'!T38+P37+'Truck Diversion Impacts'!AA38+'Truck Diversion Impacts'!AH38+'Truck Diversion Impacts'!AN38+'Truck Diversion Impacts'!AQ38</f>
        <v>0</v>
      </c>
    </row>
    <row r="38" spans="1:20" x14ac:dyDescent="0.25">
      <c r="B38" s="23"/>
      <c r="C38" s="23">
        <f t="shared" ref="C38:O38" si="1">SUM(C3:C37)</f>
        <v>33824041.853861891</v>
      </c>
      <c r="D38" s="23">
        <f t="shared" si="1"/>
        <v>1814953.9828512978</v>
      </c>
      <c r="E38" s="23">
        <f t="shared" si="1"/>
        <v>13684494.573633067</v>
      </c>
      <c r="F38" s="23">
        <f t="shared" si="1"/>
        <v>53185501.20627676</v>
      </c>
      <c r="G38" s="23">
        <f t="shared" si="1"/>
        <v>436650.55728863797</v>
      </c>
      <c r="H38" s="23">
        <f t="shared" si="1"/>
        <v>1462204.4302854843</v>
      </c>
      <c r="I38" s="23">
        <f t="shared" si="1"/>
        <v>2048759.1250234505</v>
      </c>
      <c r="J38" s="23">
        <f t="shared" si="1"/>
        <v>7962609.0922827963</v>
      </c>
      <c r="K38" s="23">
        <f t="shared" si="1"/>
        <v>875298.22971655428</v>
      </c>
      <c r="L38" s="23">
        <f t="shared" si="1"/>
        <v>4216324.7285324316</v>
      </c>
      <c r="M38" s="23">
        <f t="shared" si="1"/>
        <v>170866.40495719548</v>
      </c>
      <c r="N38" s="23">
        <f t="shared" si="1"/>
        <v>96961.855376977124</v>
      </c>
      <c r="O38" s="23">
        <f t="shared" si="1"/>
        <v>36149.141384623494</v>
      </c>
      <c r="P38" s="23">
        <f>SUM(P3:P37)</f>
        <v>-3422615.4367920188</v>
      </c>
      <c r="Q38" s="23">
        <f>SUM(Q3:Q37)</f>
        <v>116392199.74467917</v>
      </c>
      <c r="R38" s="23">
        <f>SUM(R3:R37)</f>
        <v>-61109651.5138034</v>
      </c>
      <c r="S38" s="23">
        <f>SUM(S3:S37)</f>
        <v>116392199.74467915</v>
      </c>
    </row>
    <row r="40" spans="1:20" x14ac:dyDescent="0.25">
      <c r="C40" s="23"/>
      <c r="D40" s="23"/>
      <c r="E40" s="23"/>
      <c r="F40" s="23"/>
      <c r="G40" s="23"/>
      <c r="H40" s="23"/>
      <c r="I40" s="321"/>
      <c r="K40" s="23"/>
      <c r="L40" s="23"/>
      <c r="S40" s="24">
        <f>S38/-R38</f>
        <v>1.9046451233384725</v>
      </c>
      <c r="T40" t="s">
        <v>14</v>
      </c>
    </row>
    <row r="42" spans="1:20" x14ac:dyDescent="0.25">
      <c r="S42" s="23">
        <f>R38+S38</f>
        <v>55282548.230875753</v>
      </c>
      <c r="T42" t="s">
        <v>65</v>
      </c>
    </row>
    <row r="44" spans="1:20" x14ac:dyDescent="0.25">
      <c r="R44" s="23"/>
      <c r="S44" s="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G22" workbookViewId="0">
      <selection activeCell="AB53" sqref="AB53"/>
    </sheetView>
  </sheetViews>
  <sheetFormatPr defaultRowHeight="15" x14ac:dyDescent="0.25"/>
  <cols>
    <col min="28" max="28" width="12.140625" style="20" customWidth="1"/>
    <col min="29" max="29" width="15.140625" style="29" customWidth="1"/>
  </cols>
  <sheetData>
    <row r="1" spans="1:34" x14ac:dyDescent="0.25">
      <c r="A1" s="86"/>
      <c r="B1" s="86"/>
      <c r="X1" t="s">
        <v>106</v>
      </c>
      <c r="Y1" t="s">
        <v>107</v>
      </c>
    </row>
    <row r="2" spans="1:34" ht="15.75" thickBot="1" x14ac:dyDescent="0.3">
      <c r="A2" s="86"/>
      <c r="B2" s="86"/>
      <c r="F2" s="48"/>
      <c r="G2" s="87"/>
      <c r="H2" s="89"/>
      <c r="T2" t="s">
        <v>108</v>
      </c>
      <c r="X2" s="86" t="s">
        <v>109</v>
      </c>
      <c r="Y2" s="90">
        <v>1.8</v>
      </c>
    </row>
    <row r="3" spans="1:34" ht="15.75" thickBot="1" x14ac:dyDescent="0.3">
      <c r="A3" s="86"/>
      <c r="B3" s="48" t="s">
        <v>105</v>
      </c>
      <c r="C3" s="87"/>
      <c r="D3" s="88">
        <f>+C12/G12</f>
        <v>1773.1290322580646</v>
      </c>
      <c r="F3" s="48"/>
      <c r="G3" s="87"/>
      <c r="H3" s="89"/>
      <c r="T3" s="86" t="s">
        <v>110</v>
      </c>
      <c r="U3" s="24">
        <v>0.65</v>
      </c>
      <c r="V3" s="24"/>
      <c r="X3" s="86" t="s">
        <v>111</v>
      </c>
      <c r="Y3" s="90">
        <v>0.5</v>
      </c>
    </row>
    <row r="4" spans="1:34" x14ac:dyDescent="0.25">
      <c r="A4" s="86"/>
      <c r="B4" s="86"/>
      <c r="F4" s="48"/>
      <c r="G4" s="87"/>
      <c r="H4" s="89"/>
      <c r="T4" s="86">
        <v>98</v>
      </c>
      <c r="U4" s="24">
        <v>0.35</v>
      </c>
      <c r="V4" s="24"/>
      <c r="X4" s="86" t="s">
        <v>112</v>
      </c>
      <c r="Y4" s="90">
        <v>1</v>
      </c>
    </row>
    <row r="5" spans="1:34" x14ac:dyDescent="0.25">
      <c r="A5" s="86"/>
      <c r="B5" s="86" t="s">
        <v>255</v>
      </c>
      <c r="D5">
        <f>'VMT Build'!D6</f>
        <v>2500</v>
      </c>
      <c r="F5" s="48"/>
      <c r="G5" s="87"/>
      <c r="H5" s="89"/>
      <c r="X5" s="86" t="s">
        <v>113</v>
      </c>
      <c r="Y5" s="90">
        <v>1.2</v>
      </c>
    </row>
    <row r="6" spans="1:34" x14ac:dyDescent="0.25">
      <c r="A6" s="86"/>
      <c r="B6" s="86"/>
      <c r="F6" s="48"/>
      <c r="G6" s="87"/>
      <c r="H6" s="89"/>
      <c r="X6" s="86" t="s">
        <v>114</v>
      </c>
      <c r="Y6" s="90">
        <v>1.8</v>
      </c>
    </row>
    <row r="7" spans="1:34" x14ac:dyDescent="0.25">
      <c r="A7" s="86"/>
      <c r="B7" s="86"/>
      <c r="F7" s="48"/>
      <c r="G7" s="87"/>
      <c r="H7" s="89"/>
      <c r="X7" s="86" t="s">
        <v>115</v>
      </c>
      <c r="Y7" s="90">
        <v>0.25</v>
      </c>
    </row>
    <row r="8" spans="1:34" x14ac:dyDescent="0.25">
      <c r="A8" s="86"/>
      <c r="B8" s="86"/>
      <c r="F8" s="48"/>
      <c r="G8" s="87"/>
      <c r="H8" s="89"/>
      <c r="W8" s="368"/>
      <c r="X8" s="368"/>
      <c r="Y8" s="368"/>
      <c r="Z8" s="368"/>
      <c r="AA8" s="1"/>
      <c r="AB8" s="213"/>
    </row>
    <row r="9" spans="1:34" ht="15.75" thickBot="1" x14ac:dyDescent="0.3">
      <c r="A9" s="86"/>
      <c r="B9" s="86"/>
      <c r="G9" s="91"/>
      <c r="W9" s="92" t="s">
        <v>116</v>
      </c>
      <c r="X9" s="92"/>
      <c r="Y9" s="92"/>
      <c r="Z9" s="92"/>
      <c r="AA9" s="92"/>
      <c r="AB9" s="214"/>
    </row>
    <row r="10" spans="1:34" ht="15.75" thickBot="1" x14ac:dyDescent="0.3">
      <c r="A10" s="93" t="s">
        <v>117</v>
      </c>
      <c r="B10" s="93"/>
      <c r="C10" s="94" t="s">
        <v>117</v>
      </c>
      <c r="D10" s="360" t="s">
        <v>118</v>
      </c>
      <c r="E10" s="361"/>
      <c r="F10" s="95"/>
      <c r="G10" s="96" t="s">
        <v>117</v>
      </c>
      <c r="H10" s="360" t="s">
        <v>119</v>
      </c>
      <c r="I10" s="361"/>
      <c r="J10" s="362"/>
      <c r="K10" s="363" t="s">
        <v>120</v>
      </c>
      <c r="L10" s="364"/>
      <c r="M10" s="365"/>
      <c r="N10" s="363" t="s">
        <v>121</v>
      </c>
      <c r="O10" s="364"/>
      <c r="P10" s="364"/>
      <c r="Q10" s="363" t="s">
        <v>122</v>
      </c>
      <c r="R10" s="365"/>
      <c r="S10" s="363" t="s">
        <v>123</v>
      </c>
      <c r="T10" s="365"/>
      <c r="W10" s="366" t="s">
        <v>124</v>
      </c>
      <c r="X10" s="367"/>
      <c r="Y10" s="366" t="s">
        <v>125</v>
      </c>
      <c r="Z10" s="367"/>
      <c r="AA10" s="97" t="s">
        <v>126</v>
      </c>
    </row>
    <row r="11" spans="1:34" ht="60" x14ac:dyDescent="0.25">
      <c r="A11" s="93" t="s">
        <v>127</v>
      </c>
      <c r="B11" s="93" t="s">
        <v>128</v>
      </c>
      <c r="C11" s="93" t="s">
        <v>129</v>
      </c>
      <c r="D11" s="98" t="s">
        <v>130</v>
      </c>
      <c r="E11" s="99" t="s">
        <v>131</v>
      </c>
      <c r="F11" s="100" t="s">
        <v>132</v>
      </c>
      <c r="G11" s="101" t="s">
        <v>120</v>
      </c>
      <c r="H11" s="98" t="s">
        <v>133</v>
      </c>
      <c r="I11" s="102" t="s">
        <v>134</v>
      </c>
      <c r="J11" s="103" t="s">
        <v>135</v>
      </c>
      <c r="K11" s="98" t="s">
        <v>133</v>
      </c>
      <c r="L11" s="102" t="s">
        <v>134</v>
      </c>
      <c r="M11" s="103" t="s">
        <v>135</v>
      </c>
      <c r="N11" s="98" t="s">
        <v>133</v>
      </c>
      <c r="O11" s="102" t="s">
        <v>134</v>
      </c>
      <c r="P11" s="102" t="s">
        <v>135</v>
      </c>
      <c r="Q11" s="104" t="s">
        <v>136</v>
      </c>
      <c r="R11" s="105" t="s">
        <v>137</v>
      </c>
      <c r="S11" s="104" t="s">
        <v>136</v>
      </c>
      <c r="T11" s="105" t="s">
        <v>137</v>
      </c>
      <c r="V11" s="270" t="s">
        <v>127</v>
      </c>
      <c r="W11" s="106" t="s">
        <v>109</v>
      </c>
      <c r="X11" s="107" t="s">
        <v>111</v>
      </c>
      <c r="Y11" s="106" t="s">
        <v>112</v>
      </c>
      <c r="Z11" s="107" t="s">
        <v>113</v>
      </c>
      <c r="AA11" s="108" t="s">
        <v>115</v>
      </c>
      <c r="AB11" s="214" t="s">
        <v>40</v>
      </c>
      <c r="AC11" s="29" t="s">
        <v>258</v>
      </c>
      <c r="AD11" s="92" t="s">
        <v>256</v>
      </c>
      <c r="AE11" s="92" t="s">
        <v>257</v>
      </c>
    </row>
    <row r="12" spans="1:34" x14ac:dyDescent="0.25">
      <c r="A12" s="109">
        <v>2017</v>
      </c>
      <c r="B12" s="110">
        <v>0</v>
      </c>
      <c r="C12" s="111">
        <f>IF('VMT Build'!C9&lt;200000,'VMT Build'!C9,200000)</f>
        <v>164901</v>
      </c>
      <c r="D12" s="112"/>
      <c r="E12" s="110"/>
      <c r="F12" s="113">
        <f>SUM(C12:E12)</f>
        <v>164901</v>
      </c>
      <c r="G12" s="114">
        <f>+K12+L12</f>
        <v>93</v>
      </c>
      <c r="H12" s="115">
        <f>+K12/G12</f>
        <v>0.75268817204301075</v>
      </c>
      <c r="I12" s="116">
        <f>+L12/G12</f>
        <v>0.24731182795698925</v>
      </c>
      <c r="J12" s="117">
        <v>0</v>
      </c>
      <c r="K12" s="118">
        <v>70</v>
      </c>
      <c r="L12" s="119">
        <v>23</v>
      </c>
      <c r="M12" s="120">
        <v>0</v>
      </c>
      <c r="N12" s="121">
        <f>+K12*D3</f>
        <v>124119.03225806453</v>
      </c>
      <c r="O12" s="122">
        <f>+L12*D3</f>
        <v>40781.967741935485</v>
      </c>
      <c r="P12" s="119"/>
      <c r="Q12" s="248">
        <v>1</v>
      </c>
      <c r="R12" s="265">
        <f>1-Q12</f>
        <v>0</v>
      </c>
      <c r="S12" s="125">
        <f>+F12</f>
        <v>164901</v>
      </c>
      <c r="T12" s="126">
        <v>0</v>
      </c>
      <c r="U12" s="48"/>
      <c r="V12" s="271">
        <v>2017</v>
      </c>
      <c r="W12" s="307"/>
      <c r="X12" s="308"/>
      <c r="Y12" s="309"/>
      <c r="Z12" s="310"/>
      <c r="AA12" s="311"/>
      <c r="AB12" s="215">
        <f>(W12*$Y$2)+(X12*$Y$3)+(Y12*$Y$4)+(Z12*$Y$5)+(AA12*$Y$7)</f>
        <v>0</v>
      </c>
      <c r="AC12" s="181"/>
      <c r="AD12" s="48"/>
      <c r="AE12" s="48"/>
      <c r="AF12" s="48"/>
      <c r="AG12" s="48"/>
      <c r="AH12" s="22"/>
    </row>
    <row r="13" spans="1:34" x14ac:dyDescent="0.25">
      <c r="A13" s="130">
        <f>1+A12</f>
        <v>2018</v>
      </c>
      <c r="B13" s="131">
        <v>1</v>
      </c>
      <c r="C13" s="211">
        <f>IF('VMT Build'!C10&lt;200000,'VMT Build'!C10,200000)</f>
        <v>141999</v>
      </c>
      <c r="D13" s="133"/>
      <c r="E13" s="132"/>
      <c r="F13" s="134">
        <f>SUM(C13:E13)</f>
        <v>141999</v>
      </c>
      <c r="G13" s="293">
        <f>49+33</f>
        <v>82</v>
      </c>
      <c r="H13" s="294">
        <f>+K13/G13</f>
        <v>0.40243902439024393</v>
      </c>
      <c r="I13" s="295">
        <f t="shared" ref="I13" si="0">(+H13-1)*-1</f>
        <v>0.59756097560975607</v>
      </c>
      <c r="J13" s="296">
        <f>100%-H13-I13</f>
        <v>0</v>
      </c>
      <c r="K13" s="301">
        <v>33</v>
      </c>
      <c r="L13" s="302">
        <v>49</v>
      </c>
      <c r="M13" s="303">
        <v>0</v>
      </c>
      <c r="N13" s="304">
        <v>61255</v>
      </c>
      <c r="O13" s="305">
        <v>80744</v>
      </c>
      <c r="P13" s="143">
        <f>+F13-N13-O13</f>
        <v>0</v>
      </c>
      <c r="Q13" s="294">
        <v>0.8</v>
      </c>
      <c r="R13" s="306">
        <v>0.2</v>
      </c>
      <c r="S13" s="142">
        <f>+Q13*F13</f>
        <v>113599.20000000001</v>
      </c>
      <c r="T13" s="146">
        <f>+F13-S13</f>
        <v>28399.799999999988</v>
      </c>
      <c r="U13" s="91"/>
      <c r="V13" s="272">
        <v>2018</v>
      </c>
      <c r="W13" s="312"/>
      <c r="X13" s="280"/>
      <c r="Y13" s="313"/>
      <c r="Z13" s="314"/>
      <c r="AA13" s="315"/>
      <c r="AB13" s="215">
        <f t="shared" ref="AB13:AB46" si="1">(W13*$Y$2)+(X13*$Y$3)+(Y13*$Y$4)+(Z13*$Y$5)+(AA13*$Y$7)</f>
        <v>0</v>
      </c>
      <c r="AC13" s="182"/>
      <c r="AD13" s="91"/>
      <c r="AE13" s="91"/>
      <c r="AF13" s="91"/>
      <c r="AG13" s="91"/>
      <c r="AH13" s="22"/>
    </row>
    <row r="14" spans="1:34" x14ac:dyDescent="0.25">
      <c r="A14" s="130">
        <f t="shared" ref="A14:B29" si="2">1+A13</f>
        <v>2019</v>
      </c>
      <c r="B14" s="131">
        <f>1+B13</f>
        <v>2</v>
      </c>
      <c r="C14" s="211">
        <f>IF('VMT Build'!C11&lt;200000,'VMT Build'!C11,200000)</f>
        <v>149098.95000000001</v>
      </c>
      <c r="D14" s="133"/>
      <c r="E14" s="132"/>
      <c r="F14" s="230">
        <f t="shared" ref="F14:F42" si="3">SUM(C14:E14)</f>
        <v>149098.95000000001</v>
      </c>
      <c r="G14" s="297">
        <f t="shared" ref="G14:G42" si="4">+F14/$D$3</f>
        <v>84.088042825695425</v>
      </c>
      <c r="H14" s="248">
        <v>0.45</v>
      </c>
      <c r="I14" s="249">
        <f t="shared" ref="I14" si="5">(+H14-1)*-1</f>
        <v>0.55000000000000004</v>
      </c>
      <c r="J14" s="250">
        <f t="shared" ref="J14:J18" si="6">100%-H14-I14</f>
        <v>0</v>
      </c>
      <c r="K14" s="139">
        <f t="shared" ref="K14:K41" si="7">+G14*H14</f>
        <v>37.839619271562945</v>
      </c>
      <c r="L14" s="140">
        <f t="shared" ref="L14:L41" si="8">+I14*G14</f>
        <v>46.248423554132486</v>
      </c>
      <c r="M14" s="141">
        <f t="shared" ref="M14:M41" si="9">+G14-K14-L14</f>
        <v>0</v>
      </c>
      <c r="N14" s="142">
        <f t="shared" ref="N14:N46" si="10">+K14*$D$3</f>
        <v>67094.527500000011</v>
      </c>
      <c r="O14" s="143">
        <f t="shared" ref="O14:O46" si="11">+L14*$D$3</f>
        <v>82004.422500000015</v>
      </c>
      <c r="P14" s="143">
        <f t="shared" ref="P14:P41" si="12">+F14-N14-O14</f>
        <v>0</v>
      </c>
      <c r="Q14" s="248">
        <v>0.45</v>
      </c>
      <c r="R14" s="265">
        <f t="shared" ref="R14:R42" si="13">(+Q14-1)*-1</f>
        <v>0.55000000000000004</v>
      </c>
      <c r="S14" s="142">
        <f t="shared" ref="S14:S41" si="14">+Q14*F14</f>
        <v>67094.527500000011</v>
      </c>
      <c r="T14" s="146">
        <f t="shared" ref="T14:T41" si="15">+F14-S14</f>
        <v>82004.422500000001</v>
      </c>
      <c r="U14" s="91"/>
      <c r="V14" s="271">
        <v>2019</v>
      </c>
      <c r="W14" s="307"/>
      <c r="X14" s="308">
        <f t="shared" ref="X14:Y43" si="16">N14</f>
        <v>67094.527500000011</v>
      </c>
      <c r="Y14" s="308">
        <f t="shared" si="16"/>
        <v>82004.422500000015</v>
      </c>
      <c r="Z14" s="310"/>
      <c r="AA14" s="311"/>
      <c r="AB14" s="215">
        <f t="shared" si="1"/>
        <v>115551.68625000003</v>
      </c>
      <c r="AC14" s="182"/>
      <c r="AD14" s="91"/>
      <c r="AE14" s="91"/>
      <c r="AF14" s="91"/>
      <c r="AG14" s="91"/>
      <c r="AH14" s="22"/>
    </row>
    <row r="15" spans="1:34" x14ac:dyDescent="0.25">
      <c r="A15" s="152">
        <f t="shared" si="2"/>
        <v>2020</v>
      </c>
      <c r="B15" s="153">
        <v>3</v>
      </c>
      <c r="C15" s="211">
        <f>IF('VMT Build'!C12&lt;200000,'VMT Build'!C12,200000)</f>
        <v>194098.95</v>
      </c>
      <c r="D15" s="155"/>
      <c r="E15" s="156"/>
      <c r="F15" s="298">
        <f t="shared" si="3"/>
        <v>194098.95</v>
      </c>
      <c r="G15" s="246">
        <f t="shared" si="4"/>
        <v>109.46690650754088</v>
      </c>
      <c r="H15" s="251">
        <v>0.45</v>
      </c>
      <c r="I15" s="252">
        <f>(+H15-1)*-1</f>
        <v>0.55000000000000004</v>
      </c>
      <c r="J15" s="253">
        <f t="shared" si="6"/>
        <v>0</v>
      </c>
      <c r="K15" s="158">
        <f t="shared" si="7"/>
        <v>49.260107928393396</v>
      </c>
      <c r="L15" s="159">
        <f t="shared" si="8"/>
        <v>60.206798579147488</v>
      </c>
      <c r="M15" s="160">
        <f t="shared" si="9"/>
        <v>0</v>
      </c>
      <c r="N15" s="161">
        <f t="shared" si="10"/>
        <v>87344.527499999997</v>
      </c>
      <c r="O15" s="162">
        <f t="shared" si="11"/>
        <v>106754.4225</v>
      </c>
      <c r="P15" s="162">
        <f t="shared" si="12"/>
        <v>0</v>
      </c>
      <c r="Q15" s="251">
        <v>0.45</v>
      </c>
      <c r="R15" s="266">
        <f t="shared" si="13"/>
        <v>0.55000000000000004</v>
      </c>
      <c r="S15" s="161">
        <f t="shared" si="14"/>
        <v>87344.527500000011</v>
      </c>
      <c r="T15" s="163">
        <f t="shared" si="15"/>
        <v>106754.4225</v>
      </c>
      <c r="U15" s="91"/>
      <c r="V15" s="273">
        <v>2020</v>
      </c>
      <c r="W15" s="279"/>
      <c r="X15" s="280">
        <f t="shared" si="16"/>
        <v>87344.527499999997</v>
      </c>
      <c r="Y15" s="280">
        <f t="shared" si="16"/>
        <v>106754.4225</v>
      </c>
      <c r="Z15" s="286"/>
      <c r="AA15" s="287"/>
      <c r="AB15" s="215">
        <f t="shared" si="1"/>
        <v>150426.68625</v>
      </c>
      <c r="AC15" s="182"/>
      <c r="AD15" s="91"/>
      <c r="AE15" s="91"/>
      <c r="AF15" s="91"/>
      <c r="AG15" s="91"/>
      <c r="AH15" s="22"/>
    </row>
    <row r="16" spans="1:34" x14ac:dyDescent="0.25">
      <c r="A16" s="17">
        <f t="shared" si="2"/>
        <v>2021</v>
      </c>
      <c r="B16" s="164">
        <v>4</v>
      </c>
      <c r="C16" s="165">
        <f>IF('VMT Build'!C13&lt;200000,'VMT Build'!C13,200000)</f>
        <v>200000</v>
      </c>
      <c r="D16" s="166"/>
      <c r="E16" s="167"/>
      <c r="F16" s="168">
        <f t="shared" si="3"/>
        <v>200000</v>
      </c>
      <c r="G16" s="169">
        <f t="shared" si="4"/>
        <v>112.79494969709097</v>
      </c>
      <c r="H16" s="170">
        <v>0.45</v>
      </c>
      <c r="I16" s="171">
        <f>(+H16-1)*-1</f>
        <v>0.55000000000000004</v>
      </c>
      <c r="J16" s="172">
        <f t="shared" si="6"/>
        <v>0</v>
      </c>
      <c r="K16" s="173">
        <f t="shared" si="7"/>
        <v>50.75772736369094</v>
      </c>
      <c r="L16" s="174">
        <f t="shared" si="8"/>
        <v>62.037222333400038</v>
      </c>
      <c r="M16" s="175">
        <f t="shared" si="9"/>
        <v>0</v>
      </c>
      <c r="N16" s="176">
        <f t="shared" si="10"/>
        <v>90000</v>
      </c>
      <c r="O16" s="177">
        <f t="shared" si="11"/>
        <v>110000</v>
      </c>
      <c r="P16" s="177">
        <f t="shared" si="12"/>
        <v>0</v>
      </c>
      <c r="Q16" s="170">
        <v>0.45</v>
      </c>
      <c r="R16" s="178">
        <f t="shared" si="13"/>
        <v>0.55000000000000004</v>
      </c>
      <c r="S16" s="176">
        <f t="shared" si="14"/>
        <v>90000</v>
      </c>
      <c r="T16" s="179">
        <f t="shared" si="15"/>
        <v>110000</v>
      </c>
      <c r="U16" s="91"/>
      <c r="V16" s="271">
        <v>2021</v>
      </c>
      <c r="W16" s="316"/>
      <c r="X16" s="308">
        <f t="shared" si="16"/>
        <v>90000</v>
      </c>
      <c r="Y16" s="308">
        <f t="shared" si="16"/>
        <v>110000</v>
      </c>
      <c r="Z16" s="310"/>
      <c r="AA16" s="311"/>
      <c r="AB16" s="215">
        <f t="shared" si="1"/>
        <v>155000</v>
      </c>
      <c r="AC16" s="182"/>
      <c r="AD16" s="91"/>
      <c r="AE16" s="91"/>
      <c r="AF16" s="91"/>
      <c r="AG16" s="180">
        <f>X16-'VMT Build'!X13</f>
        <v>0</v>
      </c>
      <c r="AH16" s="22"/>
    </row>
    <row r="17" spans="1:34" x14ac:dyDescent="0.25">
      <c r="A17" s="17">
        <f t="shared" si="2"/>
        <v>2022</v>
      </c>
      <c r="B17" s="164">
        <v>5</v>
      </c>
      <c r="C17" s="165">
        <f>IF('VMT Build'!C14&lt;200000,'VMT Build'!C14,200000)</f>
        <v>200000</v>
      </c>
      <c r="D17" s="166"/>
      <c r="E17" s="167"/>
      <c r="F17" s="168">
        <f t="shared" si="3"/>
        <v>200000</v>
      </c>
      <c r="G17" s="169">
        <f t="shared" si="4"/>
        <v>112.79494969709097</v>
      </c>
      <c r="H17" s="170">
        <v>0.4</v>
      </c>
      <c r="I17" s="171">
        <f>(+H17-1)*-1</f>
        <v>0.6</v>
      </c>
      <c r="J17" s="172">
        <f t="shared" si="6"/>
        <v>0</v>
      </c>
      <c r="K17" s="173">
        <f t="shared" si="7"/>
        <v>45.117979878836394</v>
      </c>
      <c r="L17" s="174">
        <f t="shared" si="8"/>
        <v>67.676969818254577</v>
      </c>
      <c r="M17" s="175">
        <f t="shared" si="9"/>
        <v>0</v>
      </c>
      <c r="N17" s="176">
        <f t="shared" si="10"/>
        <v>80000</v>
      </c>
      <c r="O17" s="177">
        <f t="shared" si="11"/>
        <v>119999.99999999999</v>
      </c>
      <c r="P17" s="177">
        <f t="shared" si="12"/>
        <v>0</v>
      </c>
      <c r="Q17" s="170">
        <v>0.45</v>
      </c>
      <c r="R17" s="178">
        <f t="shared" si="13"/>
        <v>0.55000000000000004</v>
      </c>
      <c r="S17" s="176">
        <f t="shared" si="14"/>
        <v>90000</v>
      </c>
      <c r="T17" s="179">
        <f t="shared" si="15"/>
        <v>110000</v>
      </c>
      <c r="U17" s="91"/>
      <c r="V17" s="274">
        <v>2022</v>
      </c>
      <c r="W17" s="281"/>
      <c r="X17" s="127">
        <f t="shared" si="16"/>
        <v>80000</v>
      </c>
      <c r="Y17" s="127">
        <f t="shared" si="16"/>
        <v>119999.99999999999</v>
      </c>
      <c r="Z17" s="148"/>
      <c r="AA17" s="285"/>
      <c r="AB17" s="215">
        <f t="shared" si="1"/>
        <v>160000</v>
      </c>
      <c r="AC17" s="182">
        <f>AB17-'VMT Build'!AB14</f>
        <v>0</v>
      </c>
      <c r="AD17" s="181">
        <f>(W17/$D$5)*'Berth Time'!$F$11+(X17/$D$5)*'Berth Time'!$E$11+'Berth Time'!$H$11*('VMT No Build'!Y17/$D$5)+('VMT No Build'!Z17/$D$5)*'Berth Time'!$G$11+(AA17/$D$5)*'Berth Time'!$I$11</f>
        <v>2666.6666666666661</v>
      </c>
      <c r="AE17" s="182">
        <f>AD17-'VMT Build'!AD14</f>
        <v>0</v>
      </c>
      <c r="AF17" s="91"/>
      <c r="AG17" s="180">
        <f>X17-'VMT Build'!X14</f>
        <v>0</v>
      </c>
      <c r="AH17" s="22"/>
    </row>
    <row r="18" spans="1:34" x14ac:dyDescent="0.25">
      <c r="A18" s="17">
        <f t="shared" si="2"/>
        <v>2023</v>
      </c>
      <c r="B18" s="164">
        <v>6</v>
      </c>
      <c r="C18" s="165">
        <f>IF('VMT Build'!C15&lt;200000,'VMT Build'!C15,200000)</f>
        <v>200000</v>
      </c>
      <c r="D18" s="166"/>
      <c r="E18" s="167"/>
      <c r="F18" s="168">
        <f t="shared" si="3"/>
        <v>200000</v>
      </c>
      <c r="G18" s="169">
        <f t="shared" si="4"/>
        <v>112.79494969709097</v>
      </c>
      <c r="H18" s="170">
        <v>0.4</v>
      </c>
      <c r="I18" s="171">
        <f>(+H18-1)*-1</f>
        <v>0.6</v>
      </c>
      <c r="J18" s="172">
        <f t="shared" si="6"/>
        <v>0</v>
      </c>
      <c r="K18" s="173">
        <f t="shared" si="7"/>
        <v>45.117979878836394</v>
      </c>
      <c r="L18" s="174">
        <f t="shared" si="8"/>
        <v>67.676969818254577</v>
      </c>
      <c r="M18" s="175">
        <f t="shared" si="9"/>
        <v>0</v>
      </c>
      <c r="N18" s="176">
        <f t="shared" si="10"/>
        <v>80000</v>
      </c>
      <c r="O18" s="177">
        <f t="shared" si="11"/>
        <v>119999.99999999999</v>
      </c>
      <c r="P18" s="177">
        <f t="shared" si="12"/>
        <v>0</v>
      </c>
      <c r="Q18" s="170">
        <v>0.4</v>
      </c>
      <c r="R18" s="178">
        <f t="shared" si="13"/>
        <v>0.6</v>
      </c>
      <c r="S18" s="176">
        <f t="shared" si="14"/>
        <v>80000</v>
      </c>
      <c r="T18" s="179">
        <f t="shared" si="15"/>
        <v>120000</v>
      </c>
      <c r="U18" s="91"/>
      <c r="V18" s="274">
        <v>2023</v>
      </c>
      <c r="W18" s="281"/>
      <c r="X18" s="127">
        <f t="shared" si="16"/>
        <v>80000</v>
      </c>
      <c r="Y18" s="127">
        <f t="shared" si="16"/>
        <v>119999.99999999999</v>
      </c>
      <c r="Z18" s="148"/>
      <c r="AA18" s="285"/>
      <c r="AB18" s="215">
        <f t="shared" si="1"/>
        <v>160000</v>
      </c>
      <c r="AC18" s="182">
        <f>AB18-'VMT Build'!AB15</f>
        <v>-8000</v>
      </c>
      <c r="AD18" s="181">
        <f>(W18/$D$5)*'Berth Time'!$F$11+(X18/$D$5)*'Berth Time'!$E$11+'Berth Time'!$H$11*('VMT No Build'!Y18/$D$5)+('VMT No Build'!Z18/$D$5)*'Berth Time'!$G$11+(AA18/$D$5)*'Berth Time'!$I$11</f>
        <v>2666.6666666666661</v>
      </c>
      <c r="AE18" s="182">
        <f>AD18-'VMT Build'!AD15</f>
        <v>0</v>
      </c>
      <c r="AF18" s="91"/>
      <c r="AG18" s="180">
        <f>X18-'VMT Build'!X15</f>
        <v>-4000.0000000000146</v>
      </c>
      <c r="AH18" s="22"/>
    </row>
    <row r="19" spans="1:34" x14ac:dyDescent="0.25">
      <c r="A19" s="17">
        <f t="shared" si="2"/>
        <v>2024</v>
      </c>
      <c r="B19" s="164">
        <v>7</v>
      </c>
      <c r="C19" s="165">
        <v>200000</v>
      </c>
      <c r="D19" s="166"/>
      <c r="E19" s="167"/>
      <c r="F19" s="168">
        <f t="shared" si="3"/>
        <v>200000</v>
      </c>
      <c r="G19" s="169">
        <f t="shared" si="4"/>
        <v>112.79494969709097</v>
      </c>
      <c r="H19" s="170">
        <v>0.35</v>
      </c>
      <c r="I19" s="171">
        <f t="shared" ref="I19:I42" si="17">(+H19-1)*-1</f>
        <v>0.65</v>
      </c>
      <c r="J19" s="172">
        <f>J18</f>
        <v>0</v>
      </c>
      <c r="K19" s="173">
        <f t="shared" si="7"/>
        <v>39.478232393981834</v>
      </c>
      <c r="L19" s="174">
        <f t="shared" si="8"/>
        <v>73.316717303109129</v>
      </c>
      <c r="M19" s="175">
        <f t="shared" si="9"/>
        <v>0</v>
      </c>
      <c r="N19" s="176">
        <f t="shared" si="10"/>
        <v>69999.999999999985</v>
      </c>
      <c r="O19" s="177">
        <f t="shared" si="11"/>
        <v>129999.99999999999</v>
      </c>
      <c r="P19" s="177">
        <f t="shared" si="12"/>
        <v>0</v>
      </c>
      <c r="Q19" s="170">
        <v>0.35</v>
      </c>
      <c r="R19" s="178">
        <f t="shared" si="13"/>
        <v>0.65</v>
      </c>
      <c r="S19" s="176">
        <f t="shared" si="14"/>
        <v>70000</v>
      </c>
      <c r="T19" s="179">
        <f t="shared" si="15"/>
        <v>130000</v>
      </c>
      <c r="U19" s="91"/>
      <c r="V19" s="274">
        <v>2024</v>
      </c>
      <c r="W19" s="278"/>
      <c r="X19" s="127">
        <f t="shared" si="16"/>
        <v>69999.999999999985</v>
      </c>
      <c r="Y19" s="127">
        <f t="shared" si="16"/>
        <v>129999.99999999999</v>
      </c>
      <c r="Z19" s="148"/>
      <c r="AA19" s="285"/>
      <c r="AB19" s="215">
        <f t="shared" si="1"/>
        <v>164999.99999999997</v>
      </c>
      <c r="AC19" s="182">
        <f>AB19-'VMT Build'!AB16</f>
        <v>125399.99999999997</v>
      </c>
      <c r="AD19" s="181">
        <f>(W19/$D$5)*'Berth Time'!$F$11+(X19/$D$5)*'Berth Time'!$E$11+'Berth Time'!$H$11*('VMT No Build'!Y19/$D$5)+('VMT No Build'!Z19/$D$5)*'Berth Time'!$G$11+(AA19/$D$5)*'Berth Time'!$I$11</f>
        <v>2749.9999999999991</v>
      </c>
      <c r="AE19" s="182">
        <f>AD19-'VMT Build'!AD16</f>
        <v>1554.5871559633017</v>
      </c>
      <c r="AF19" s="91"/>
      <c r="AG19" s="180">
        <f>X19-'VMT Build'!X16</f>
        <v>57999.999999999985</v>
      </c>
      <c r="AH19" s="22"/>
    </row>
    <row r="20" spans="1:34" x14ac:dyDescent="0.25">
      <c r="A20" s="17">
        <f t="shared" si="2"/>
        <v>2025</v>
      </c>
      <c r="B20" s="164">
        <v>8</v>
      </c>
      <c r="C20" s="165">
        <v>200000</v>
      </c>
      <c r="D20" s="166"/>
      <c r="E20" s="167"/>
      <c r="F20" s="168">
        <f t="shared" si="3"/>
        <v>200000</v>
      </c>
      <c r="G20" s="169">
        <f t="shared" si="4"/>
        <v>112.79494969709097</v>
      </c>
      <c r="H20" s="170">
        <v>0.3</v>
      </c>
      <c r="I20" s="171">
        <f t="shared" si="17"/>
        <v>0.7</v>
      </c>
      <c r="J20" s="172">
        <f t="shared" ref="J20:J42" si="18">J19</f>
        <v>0</v>
      </c>
      <c r="K20" s="173">
        <f t="shared" si="7"/>
        <v>33.838484909127288</v>
      </c>
      <c r="L20" s="174">
        <f t="shared" si="8"/>
        <v>78.956464787963668</v>
      </c>
      <c r="M20" s="175">
        <f t="shared" si="9"/>
        <v>0</v>
      </c>
      <c r="N20" s="176">
        <f t="shared" si="10"/>
        <v>59999.999999999993</v>
      </c>
      <c r="O20" s="177">
        <f t="shared" si="11"/>
        <v>139999.99999999997</v>
      </c>
      <c r="P20" s="177">
        <f t="shared" si="12"/>
        <v>0</v>
      </c>
      <c r="Q20" s="170">
        <v>0.3</v>
      </c>
      <c r="R20" s="178">
        <f t="shared" si="13"/>
        <v>0.7</v>
      </c>
      <c r="S20" s="176">
        <f t="shared" si="14"/>
        <v>60000</v>
      </c>
      <c r="T20" s="179">
        <f t="shared" si="15"/>
        <v>140000</v>
      </c>
      <c r="U20" s="91"/>
      <c r="V20" s="274">
        <v>2025</v>
      </c>
      <c r="W20" s="278"/>
      <c r="X20" s="127">
        <f t="shared" si="16"/>
        <v>59999.999999999993</v>
      </c>
      <c r="Y20" s="127">
        <f t="shared" si="16"/>
        <v>139999.99999999997</v>
      </c>
      <c r="Z20" s="148"/>
      <c r="AA20" s="285"/>
      <c r="AB20" s="215">
        <f t="shared" si="1"/>
        <v>169999.99999999997</v>
      </c>
      <c r="AC20" s="182">
        <f>AB20-'VMT Build'!AB17</f>
        <v>112579.99999999997</v>
      </c>
      <c r="AD20" s="181">
        <f>(W20/$D$5)*'Berth Time'!$F$11+(X20/$D$5)*'Berth Time'!$E$11+'Berth Time'!$H$11*('VMT No Build'!Y20/$D$5)+('VMT No Build'!Z20/$D$5)*'Berth Time'!$G$11+(AA20/$D$5)*'Berth Time'!$I$11</f>
        <v>2833.3333333333326</v>
      </c>
      <c r="AE20" s="182">
        <f>AD20-'VMT Build'!AD17</f>
        <v>1533.8709239499331</v>
      </c>
      <c r="AF20" s="91"/>
      <c r="AG20" s="180">
        <f>X20-'VMT Build'!X17</f>
        <v>42599.999999999993</v>
      </c>
      <c r="AH20" s="22"/>
    </row>
    <row r="21" spans="1:34" x14ac:dyDescent="0.25">
      <c r="A21" s="17">
        <f t="shared" si="2"/>
        <v>2026</v>
      </c>
      <c r="B21" s="164">
        <v>9</v>
      </c>
      <c r="C21" s="165">
        <v>200000</v>
      </c>
      <c r="D21" s="166"/>
      <c r="E21" s="167"/>
      <c r="F21" s="299">
        <f t="shared" si="3"/>
        <v>200000</v>
      </c>
      <c r="G21" s="169">
        <f t="shared" si="4"/>
        <v>112.79494969709097</v>
      </c>
      <c r="H21" s="170">
        <v>0.3</v>
      </c>
      <c r="I21" s="171">
        <f t="shared" si="17"/>
        <v>0.7</v>
      </c>
      <c r="J21" s="172">
        <f t="shared" si="18"/>
        <v>0</v>
      </c>
      <c r="K21" s="173">
        <f t="shared" si="7"/>
        <v>33.838484909127288</v>
      </c>
      <c r="L21" s="174">
        <f t="shared" si="8"/>
        <v>78.956464787963668</v>
      </c>
      <c r="M21" s="175">
        <f t="shared" si="9"/>
        <v>0</v>
      </c>
      <c r="N21" s="176">
        <f t="shared" si="10"/>
        <v>59999.999999999993</v>
      </c>
      <c r="O21" s="177">
        <f t="shared" si="11"/>
        <v>139999.99999999997</v>
      </c>
      <c r="P21" s="177">
        <f t="shared" si="12"/>
        <v>0</v>
      </c>
      <c r="Q21" s="170">
        <v>0.3</v>
      </c>
      <c r="R21" s="178">
        <f t="shared" si="13"/>
        <v>0.7</v>
      </c>
      <c r="S21" s="176">
        <f t="shared" si="14"/>
        <v>60000</v>
      </c>
      <c r="T21" s="179">
        <f t="shared" si="15"/>
        <v>140000</v>
      </c>
      <c r="U21" s="91"/>
      <c r="V21" s="274">
        <v>2026</v>
      </c>
      <c r="W21" s="278"/>
      <c r="X21" s="127">
        <f t="shared" si="16"/>
        <v>59999.999999999993</v>
      </c>
      <c r="Y21" s="127">
        <f t="shared" si="16"/>
        <v>139999.99999999997</v>
      </c>
      <c r="Z21" s="148"/>
      <c r="AA21" s="285"/>
      <c r="AB21" s="215">
        <f t="shared" si="1"/>
        <v>169999.99999999997</v>
      </c>
      <c r="AC21" s="182">
        <f>AB21-'VMT Build'!AB18</f>
        <v>104254.09999999998</v>
      </c>
      <c r="AD21" s="181">
        <f>(W21/$D$5)*'Berth Time'!$F$11+(X21/$D$5)*'Berth Time'!$E$11+'Berth Time'!$H$11*('VMT No Build'!Y21/$D$5)+('VMT No Build'!Z21/$D$5)*'Berth Time'!$G$11+(AA21/$D$5)*'Berth Time'!$I$11</f>
        <v>2833.3333333333326</v>
      </c>
      <c r="AE21" s="182">
        <f>AD21-'VMT Build'!AD18</f>
        <v>1500.2419042171157</v>
      </c>
      <c r="AF21" s="91"/>
      <c r="AG21" s="180">
        <f>X21-'VMT Build'!X18</f>
        <v>40076.999999999993</v>
      </c>
      <c r="AH21" s="22"/>
    </row>
    <row r="22" spans="1:34" x14ac:dyDescent="0.25">
      <c r="A22" s="17">
        <f t="shared" si="2"/>
        <v>2027</v>
      </c>
      <c r="B22" s="164">
        <v>10</v>
      </c>
      <c r="C22" s="165">
        <v>200000</v>
      </c>
      <c r="D22" s="166"/>
      <c r="E22" s="167"/>
      <c r="F22" s="299">
        <f t="shared" si="3"/>
        <v>200000</v>
      </c>
      <c r="G22" s="169">
        <f t="shared" si="4"/>
        <v>112.79494969709097</v>
      </c>
      <c r="H22" s="170">
        <v>0.3</v>
      </c>
      <c r="I22" s="171">
        <f t="shared" si="17"/>
        <v>0.7</v>
      </c>
      <c r="J22" s="172">
        <f t="shared" si="18"/>
        <v>0</v>
      </c>
      <c r="K22" s="173">
        <f t="shared" si="7"/>
        <v>33.838484909127288</v>
      </c>
      <c r="L22" s="174">
        <f t="shared" si="8"/>
        <v>78.956464787963668</v>
      </c>
      <c r="M22" s="175">
        <f t="shared" si="9"/>
        <v>0</v>
      </c>
      <c r="N22" s="176">
        <f t="shared" si="10"/>
        <v>59999.999999999993</v>
      </c>
      <c r="O22" s="177">
        <f t="shared" si="11"/>
        <v>139999.99999999997</v>
      </c>
      <c r="P22" s="177">
        <f t="shared" si="12"/>
        <v>0</v>
      </c>
      <c r="Q22" s="170">
        <v>0.3</v>
      </c>
      <c r="R22" s="178">
        <f t="shared" si="13"/>
        <v>0.7</v>
      </c>
      <c r="S22" s="176">
        <f t="shared" si="14"/>
        <v>60000</v>
      </c>
      <c r="T22" s="179">
        <f t="shared" si="15"/>
        <v>140000</v>
      </c>
      <c r="U22" s="91"/>
      <c r="V22" s="274">
        <v>2027</v>
      </c>
      <c r="W22" s="278"/>
      <c r="X22" s="127">
        <f t="shared" si="16"/>
        <v>59999.999999999993</v>
      </c>
      <c r="Y22" s="127">
        <f t="shared" si="16"/>
        <v>139999.99999999997</v>
      </c>
      <c r="Z22" s="148"/>
      <c r="AA22" s="285"/>
      <c r="AB22" s="215">
        <f t="shared" si="1"/>
        <v>169999.99999999997</v>
      </c>
      <c r="AC22" s="182">
        <f>AB22-'VMT Build'!AB19</f>
        <v>94720.944499999983</v>
      </c>
      <c r="AD22" s="181">
        <f>(W22/$D$5)*'Berth Time'!$F$11+(X22/$D$5)*'Berth Time'!$E$11+'Berth Time'!$H$11*('VMT No Build'!Y22/$D$5)+('VMT No Build'!Z22/$D$5)*'Berth Time'!$G$11+(AA22/$D$5)*'Berth Time'!$I$11</f>
        <v>2833.3333333333326</v>
      </c>
      <c r="AE22" s="182">
        <f>AD22-'VMT Build'!AD19</f>
        <v>1464.8357357044285</v>
      </c>
      <c r="AF22" s="91"/>
      <c r="AG22" s="180">
        <f>X22-'VMT Build'!X19</f>
        <v>37188.164999999994</v>
      </c>
      <c r="AH22" s="22"/>
    </row>
    <row r="23" spans="1:34" x14ac:dyDescent="0.25">
      <c r="A23" s="17">
        <f t="shared" si="2"/>
        <v>2028</v>
      </c>
      <c r="B23" s="17">
        <f>1+B22</f>
        <v>11</v>
      </c>
      <c r="C23" s="165">
        <v>200000</v>
      </c>
      <c r="D23" s="166"/>
      <c r="E23" s="167"/>
      <c r="F23" s="299">
        <f t="shared" si="3"/>
        <v>200000</v>
      </c>
      <c r="G23" s="169">
        <f t="shared" si="4"/>
        <v>112.79494969709097</v>
      </c>
      <c r="H23" s="170">
        <v>0.3</v>
      </c>
      <c r="I23" s="171">
        <f t="shared" si="17"/>
        <v>0.7</v>
      </c>
      <c r="J23" s="172">
        <f t="shared" si="18"/>
        <v>0</v>
      </c>
      <c r="K23" s="173">
        <f t="shared" si="7"/>
        <v>33.838484909127288</v>
      </c>
      <c r="L23" s="174">
        <f t="shared" si="8"/>
        <v>78.956464787963668</v>
      </c>
      <c r="M23" s="175">
        <f t="shared" si="9"/>
        <v>0</v>
      </c>
      <c r="N23" s="176">
        <f t="shared" si="10"/>
        <v>59999.999999999993</v>
      </c>
      <c r="O23" s="177">
        <f t="shared" si="11"/>
        <v>139999.99999999997</v>
      </c>
      <c r="P23" s="177">
        <f t="shared" si="12"/>
        <v>0</v>
      </c>
      <c r="Q23" s="170">
        <v>0.3</v>
      </c>
      <c r="R23" s="178">
        <f t="shared" si="13"/>
        <v>0.7</v>
      </c>
      <c r="S23" s="176">
        <f t="shared" si="14"/>
        <v>60000</v>
      </c>
      <c r="T23" s="179">
        <f t="shared" si="15"/>
        <v>140000</v>
      </c>
      <c r="U23" s="91"/>
      <c r="V23" s="274">
        <v>2028</v>
      </c>
      <c r="W23" s="278"/>
      <c r="X23" s="127">
        <f t="shared" si="16"/>
        <v>59999.999999999993</v>
      </c>
      <c r="Y23" s="127">
        <f t="shared" si="16"/>
        <v>139999.99999999997</v>
      </c>
      <c r="Z23" s="148"/>
      <c r="AA23" s="285"/>
      <c r="AB23" s="215">
        <f t="shared" si="1"/>
        <v>169999.99999999997</v>
      </c>
      <c r="AC23" s="182">
        <f>AB23-'VMT Build'!AB20</f>
        <v>83805.481452499982</v>
      </c>
      <c r="AD23" s="181">
        <f>(W23/$D$5)*'Berth Time'!$F$11+(X23/$D$5)*'Berth Time'!$E$11+'Berth Time'!$H$11*('VMT No Build'!Y23/$D$5)+('VMT No Build'!Z23/$D$5)*'Berth Time'!$G$11+(AA23/$D$5)*'Berth Time'!$I$11</f>
        <v>2833.3333333333326</v>
      </c>
      <c r="AE23" s="182">
        <f>AD23-'VMT Build'!AD20</f>
        <v>1427.6510791544224</v>
      </c>
      <c r="AF23" s="91"/>
      <c r="AG23" s="180">
        <f>X23-'VMT Build'!X20</f>
        <v>33880.44892499999</v>
      </c>
    </row>
    <row r="24" spans="1:34" x14ac:dyDescent="0.25">
      <c r="A24" s="17">
        <f t="shared" si="2"/>
        <v>2029</v>
      </c>
      <c r="B24" s="17">
        <f t="shared" si="2"/>
        <v>12</v>
      </c>
      <c r="C24" s="165">
        <v>200000</v>
      </c>
      <c r="D24" s="166"/>
      <c r="E24" s="167"/>
      <c r="F24" s="299">
        <f t="shared" si="3"/>
        <v>200000</v>
      </c>
      <c r="G24" s="169">
        <f t="shared" si="4"/>
        <v>112.79494969709097</v>
      </c>
      <c r="H24" s="170">
        <v>0.3</v>
      </c>
      <c r="I24" s="171">
        <f t="shared" si="17"/>
        <v>0.7</v>
      </c>
      <c r="J24" s="172">
        <f t="shared" si="18"/>
        <v>0</v>
      </c>
      <c r="K24" s="173">
        <f t="shared" si="7"/>
        <v>33.838484909127288</v>
      </c>
      <c r="L24" s="174">
        <f t="shared" si="8"/>
        <v>78.956464787963668</v>
      </c>
      <c r="M24" s="175">
        <f t="shared" si="9"/>
        <v>0</v>
      </c>
      <c r="N24" s="176">
        <f t="shared" si="10"/>
        <v>59999.999999999993</v>
      </c>
      <c r="O24" s="177">
        <f t="shared" si="11"/>
        <v>139999.99999999997</v>
      </c>
      <c r="P24" s="177">
        <f t="shared" si="12"/>
        <v>0</v>
      </c>
      <c r="Q24" s="170">
        <v>0.3</v>
      </c>
      <c r="R24" s="178">
        <f t="shared" si="13"/>
        <v>0.7</v>
      </c>
      <c r="S24" s="176">
        <f t="shared" si="14"/>
        <v>60000</v>
      </c>
      <c r="T24" s="179">
        <f t="shared" si="15"/>
        <v>140000</v>
      </c>
      <c r="U24" s="91"/>
      <c r="V24" s="274">
        <v>2029</v>
      </c>
      <c r="W24" s="278"/>
      <c r="X24" s="127">
        <f t="shared" si="16"/>
        <v>59999.999999999993</v>
      </c>
      <c r="Y24" s="127">
        <f t="shared" si="16"/>
        <v>139999.99999999997</v>
      </c>
      <c r="Z24" s="148"/>
      <c r="AA24" s="285"/>
      <c r="AB24" s="215">
        <f t="shared" si="1"/>
        <v>169999.99999999997</v>
      </c>
      <c r="AC24" s="182">
        <f>AB24-'VMT Build'!AB21</f>
        <v>71307.276263112479</v>
      </c>
      <c r="AD24" s="181">
        <f>(W24/$D$5)*'Berth Time'!$F$11+(X24/$D$5)*'Berth Time'!$E$11+'Berth Time'!$H$11*('VMT No Build'!Y24/$D$5)+('VMT No Build'!Z24/$D$5)*'Berth Time'!$G$11+(AA24/$D$5)*'Berth Time'!$I$11</f>
        <v>2833.3333333333326</v>
      </c>
      <c r="AE24" s="182">
        <f>AD24-'VMT Build'!AD21</f>
        <v>1388.7004423026306</v>
      </c>
      <c r="AF24" s="91"/>
      <c r="AG24" s="180">
        <f>X24-'VMT Build'!X21</f>
        <v>30093.114019124998</v>
      </c>
    </row>
    <row r="25" spans="1:34" x14ac:dyDescent="0.25">
      <c r="A25" s="17">
        <f t="shared" si="2"/>
        <v>2030</v>
      </c>
      <c r="B25" s="17">
        <f t="shared" si="2"/>
        <v>13</v>
      </c>
      <c r="C25" s="165">
        <v>200000</v>
      </c>
      <c r="D25" s="166"/>
      <c r="E25" s="167"/>
      <c r="F25" s="299">
        <f t="shared" si="3"/>
        <v>200000</v>
      </c>
      <c r="G25" s="169">
        <f t="shared" si="4"/>
        <v>112.79494969709097</v>
      </c>
      <c r="H25" s="170">
        <v>0.3</v>
      </c>
      <c r="I25" s="171">
        <f t="shared" si="17"/>
        <v>0.7</v>
      </c>
      <c r="J25" s="172">
        <f t="shared" si="18"/>
        <v>0</v>
      </c>
      <c r="K25" s="173">
        <f t="shared" si="7"/>
        <v>33.838484909127288</v>
      </c>
      <c r="L25" s="174">
        <f t="shared" si="8"/>
        <v>78.956464787963668</v>
      </c>
      <c r="M25" s="175">
        <f t="shared" si="9"/>
        <v>0</v>
      </c>
      <c r="N25" s="176">
        <f t="shared" si="10"/>
        <v>59999.999999999993</v>
      </c>
      <c r="O25" s="177">
        <f t="shared" si="11"/>
        <v>139999.99999999997</v>
      </c>
      <c r="P25" s="177">
        <f t="shared" si="12"/>
        <v>0</v>
      </c>
      <c r="Q25" s="170">
        <v>0.3</v>
      </c>
      <c r="R25" s="178">
        <f t="shared" si="13"/>
        <v>0.7</v>
      </c>
      <c r="S25" s="176">
        <f t="shared" si="14"/>
        <v>60000</v>
      </c>
      <c r="T25" s="179">
        <f t="shared" si="15"/>
        <v>140000</v>
      </c>
      <c r="U25" s="91"/>
      <c r="V25" s="274">
        <v>2030</v>
      </c>
      <c r="W25" s="278"/>
      <c r="X25" s="127">
        <f t="shared" si="16"/>
        <v>59999.999999999993</v>
      </c>
      <c r="Y25" s="127">
        <f t="shared" si="16"/>
        <v>139999.99999999997</v>
      </c>
      <c r="Z25" s="148"/>
      <c r="AA25" s="285"/>
      <c r="AB25" s="215">
        <f t="shared" si="1"/>
        <v>169999.99999999997</v>
      </c>
      <c r="AC25" s="182">
        <f>AB25-'VMT Build'!AB22</f>
        <v>56996.831321263802</v>
      </c>
      <c r="AD25" s="181">
        <f>(W25/$D$5)*'Berth Time'!$F$11+(X25/$D$5)*'Berth Time'!$E$11+'Berth Time'!$H$11*('VMT No Build'!Y25/$D$5)+('VMT No Build'!Z25/$D$5)*'Berth Time'!$G$11+(AA25/$D$5)*'Berth Time'!$I$11</f>
        <v>2833.3333333333326</v>
      </c>
      <c r="AE25" s="182">
        <f>AD25-'VMT Build'!AD22</f>
        <v>1348.0113958874822</v>
      </c>
      <c r="AF25" s="91"/>
      <c r="AG25" s="180">
        <f>X25-'VMT Build'!X22</f>
        <v>25756.615551898125</v>
      </c>
    </row>
    <row r="26" spans="1:34" x14ac:dyDescent="0.25">
      <c r="A26" s="17">
        <f t="shared" si="2"/>
        <v>2031</v>
      </c>
      <c r="B26" s="17">
        <f t="shared" si="2"/>
        <v>14</v>
      </c>
      <c r="C26" s="165">
        <v>200000</v>
      </c>
      <c r="D26" s="166"/>
      <c r="E26" s="167"/>
      <c r="F26" s="299">
        <f t="shared" si="3"/>
        <v>200000</v>
      </c>
      <c r="G26" s="169">
        <f t="shared" si="4"/>
        <v>112.79494969709097</v>
      </c>
      <c r="H26" s="170">
        <v>0.3</v>
      </c>
      <c r="I26" s="171">
        <f t="shared" si="17"/>
        <v>0.7</v>
      </c>
      <c r="J26" s="172">
        <f t="shared" si="18"/>
        <v>0</v>
      </c>
      <c r="K26" s="173">
        <f t="shared" si="7"/>
        <v>33.838484909127288</v>
      </c>
      <c r="L26" s="174">
        <f t="shared" si="8"/>
        <v>78.956464787963668</v>
      </c>
      <c r="M26" s="175">
        <f t="shared" si="9"/>
        <v>0</v>
      </c>
      <c r="N26" s="176">
        <f t="shared" si="10"/>
        <v>59999.999999999993</v>
      </c>
      <c r="O26" s="177">
        <f t="shared" si="11"/>
        <v>139999.99999999997</v>
      </c>
      <c r="P26" s="177">
        <f t="shared" si="12"/>
        <v>0</v>
      </c>
      <c r="Q26" s="170">
        <v>0.3</v>
      </c>
      <c r="R26" s="178">
        <f t="shared" si="13"/>
        <v>0.7</v>
      </c>
      <c r="S26" s="176">
        <f t="shared" si="14"/>
        <v>60000</v>
      </c>
      <c r="T26" s="179">
        <f t="shared" si="15"/>
        <v>140000</v>
      </c>
      <c r="U26" s="91"/>
      <c r="V26" s="274">
        <v>2031</v>
      </c>
      <c r="W26" s="278"/>
      <c r="X26" s="127">
        <f t="shared" si="16"/>
        <v>59999.999999999993</v>
      </c>
      <c r="Y26" s="127">
        <f t="shared" si="16"/>
        <v>139999.99999999997</v>
      </c>
      <c r="Z26" s="148"/>
      <c r="AA26" s="285"/>
      <c r="AB26" s="215">
        <f t="shared" si="1"/>
        <v>169999.99999999997</v>
      </c>
      <c r="AC26" s="182">
        <f>AB26-'VMT Build'!AB23</f>
        <v>40611.371862847052</v>
      </c>
      <c r="AD26" s="181">
        <f>(W26/$D$5)*'Berth Time'!$F$11+(X26/$D$5)*'Berth Time'!$E$11+'Berth Time'!$H$11*('VMT No Build'!Y26/$D$5)+('VMT No Build'!Z26/$D$5)*'Berth Time'!$G$11+(AA26/$D$5)*'Berth Time'!$I$11</f>
        <v>2833.3333333333326</v>
      </c>
      <c r="AE26" s="182">
        <f>AD26-'VMT Build'!AD23</f>
        <v>1305.6276162799829</v>
      </c>
      <c r="AF26" s="91"/>
      <c r="AG26" s="180">
        <f>X26-'VMT Build'!X23</f>
        <v>20791.324806923352</v>
      </c>
    </row>
    <row r="27" spans="1:34" x14ac:dyDescent="0.25">
      <c r="A27" s="17">
        <f t="shared" si="2"/>
        <v>2032</v>
      </c>
      <c r="B27" s="17">
        <f t="shared" si="2"/>
        <v>15</v>
      </c>
      <c r="C27" s="165">
        <v>200000</v>
      </c>
      <c r="D27" s="166"/>
      <c r="E27" s="167"/>
      <c r="F27" s="299">
        <f t="shared" si="3"/>
        <v>200000</v>
      </c>
      <c r="G27" s="169">
        <f t="shared" si="4"/>
        <v>112.79494969709097</v>
      </c>
      <c r="H27" s="170">
        <v>0.3</v>
      </c>
      <c r="I27" s="171">
        <f t="shared" si="17"/>
        <v>0.7</v>
      </c>
      <c r="J27" s="172">
        <f t="shared" si="18"/>
        <v>0</v>
      </c>
      <c r="K27" s="173">
        <f t="shared" si="7"/>
        <v>33.838484909127288</v>
      </c>
      <c r="L27" s="174">
        <f t="shared" si="8"/>
        <v>78.956464787963668</v>
      </c>
      <c r="M27" s="175">
        <f t="shared" si="9"/>
        <v>0</v>
      </c>
      <c r="N27" s="176">
        <f t="shared" si="10"/>
        <v>59999.999999999993</v>
      </c>
      <c r="O27" s="177">
        <f t="shared" si="11"/>
        <v>139999.99999999997</v>
      </c>
      <c r="P27" s="177">
        <f t="shared" si="12"/>
        <v>0</v>
      </c>
      <c r="Q27" s="170">
        <v>0.3</v>
      </c>
      <c r="R27" s="178">
        <f t="shared" si="13"/>
        <v>0.7</v>
      </c>
      <c r="S27" s="176">
        <f t="shared" si="14"/>
        <v>60000</v>
      </c>
      <c r="T27" s="179">
        <f t="shared" si="15"/>
        <v>140000</v>
      </c>
      <c r="U27" s="91"/>
      <c r="V27" s="276">
        <v>2032</v>
      </c>
      <c r="W27" s="150"/>
      <c r="X27" s="127">
        <f t="shared" si="16"/>
        <v>59999.999999999993</v>
      </c>
      <c r="Y27" s="127">
        <f t="shared" si="16"/>
        <v>139999.99999999997</v>
      </c>
      <c r="Z27" s="317"/>
      <c r="AA27" s="149"/>
      <c r="AB27" s="215">
        <f t="shared" si="1"/>
        <v>169999.99999999997</v>
      </c>
      <c r="AC27" s="182">
        <f>AB27-'VMT Build'!AB24</f>
        <v>21499.999999999971</v>
      </c>
      <c r="AD27" s="181">
        <f>(W27/$D$5)*'Berth Time'!$F$11+(X27/$D$5)*'Berth Time'!$E$11+'Berth Time'!$H$11*('VMT No Build'!Y27/$D$5)+('VMT No Build'!Z27/$D$5)*'Berth Time'!$G$11+(AA27/$D$5)*'Berth Time'!$I$11</f>
        <v>2833.3333333333326</v>
      </c>
      <c r="AE27" s="182">
        <f>AD27-'VMT Build'!AD24</f>
        <v>1259.9999999999993</v>
      </c>
      <c r="AF27" s="91"/>
      <c r="AG27" s="180">
        <f>X27-'VMT Build'!X24</f>
        <v>14999.999999999993</v>
      </c>
    </row>
    <row r="28" spans="1:34" x14ac:dyDescent="0.25">
      <c r="A28" s="17">
        <f t="shared" si="2"/>
        <v>2033</v>
      </c>
      <c r="B28" s="17">
        <f t="shared" si="2"/>
        <v>16</v>
      </c>
      <c r="C28" s="165">
        <v>200000</v>
      </c>
      <c r="D28" s="166"/>
      <c r="E28" s="167"/>
      <c r="F28" s="299">
        <f t="shared" si="3"/>
        <v>200000</v>
      </c>
      <c r="G28" s="169">
        <f t="shared" si="4"/>
        <v>112.79494969709097</v>
      </c>
      <c r="H28" s="170">
        <v>0.3</v>
      </c>
      <c r="I28" s="171">
        <f t="shared" si="17"/>
        <v>0.7</v>
      </c>
      <c r="J28" s="172">
        <f t="shared" si="18"/>
        <v>0</v>
      </c>
      <c r="K28" s="173">
        <f t="shared" si="7"/>
        <v>33.838484909127288</v>
      </c>
      <c r="L28" s="174">
        <f t="shared" si="8"/>
        <v>78.956464787963668</v>
      </c>
      <c r="M28" s="175">
        <f t="shared" si="9"/>
        <v>0</v>
      </c>
      <c r="N28" s="176">
        <f t="shared" si="10"/>
        <v>59999.999999999993</v>
      </c>
      <c r="O28" s="177">
        <f t="shared" si="11"/>
        <v>139999.99999999997</v>
      </c>
      <c r="P28" s="177">
        <f t="shared" si="12"/>
        <v>0</v>
      </c>
      <c r="Q28" s="170">
        <v>0.3</v>
      </c>
      <c r="R28" s="178">
        <f t="shared" si="13"/>
        <v>0.7</v>
      </c>
      <c r="S28" s="176">
        <f t="shared" si="14"/>
        <v>60000</v>
      </c>
      <c r="T28" s="179">
        <f t="shared" si="15"/>
        <v>140000</v>
      </c>
      <c r="U28" s="91"/>
      <c r="V28" s="276">
        <v>2033</v>
      </c>
      <c r="W28" s="150"/>
      <c r="X28" s="127">
        <f t="shared" si="16"/>
        <v>59999.999999999993</v>
      </c>
      <c r="Y28" s="127">
        <f t="shared" si="16"/>
        <v>139999.99999999997</v>
      </c>
      <c r="Z28" s="317"/>
      <c r="AA28" s="149"/>
      <c r="AB28" s="215">
        <f t="shared" si="1"/>
        <v>169999.99999999997</v>
      </c>
      <c r="AC28" s="182">
        <f>AB28-'VMT Build'!AB25</f>
        <v>21499.999999999971</v>
      </c>
      <c r="AD28" s="181">
        <f>(W28/$D$5)*'Berth Time'!$F$11+(X28/$D$5)*'Berth Time'!$E$11+'Berth Time'!$H$11*('VMT No Build'!Y28/$D$5)+('VMT No Build'!Z28/$D$5)*'Berth Time'!$G$11+(AA28/$D$5)*'Berth Time'!$I$11</f>
        <v>2833.3333333333326</v>
      </c>
      <c r="AE28" s="182">
        <f>AD28-'VMT Build'!AD25</f>
        <v>1259.9999999999993</v>
      </c>
      <c r="AF28" s="91"/>
      <c r="AG28" s="180">
        <f>X28-'VMT Build'!X25</f>
        <v>14999.999999999993</v>
      </c>
    </row>
    <row r="29" spans="1:34" x14ac:dyDescent="0.25">
      <c r="A29" s="17">
        <f t="shared" si="2"/>
        <v>2034</v>
      </c>
      <c r="B29" s="17">
        <f t="shared" si="2"/>
        <v>17</v>
      </c>
      <c r="C29" s="165">
        <v>200000</v>
      </c>
      <c r="D29" s="166"/>
      <c r="E29" s="167"/>
      <c r="F29" s="299">
        <f t="shared" si="3"/>
        <v>200000</v>
      </c>
      <c r="G29" s="169">
        <f t="shared" si="4"/>
        <v>112.79494969709097</v>
      </c>
      <c r="H29" s="170">
        <v>0.3</v>
      </c>
      <c r="I29" s="171">
        <f t="shared" si="17"/>
        <v>0.7</v>
      </c>
      <c r="J29" s="172">
        <f t="shared" si="18"/>
        <v>0</v>
      </c>
      <c r="K29" s="173">
        <f t="shared" si="7"/>
        <v>33.838484909127288</v>
      </c>
      <c r="L29" s="174">
        <f t="shared" si="8"/>
        <v>78.956464787963668</v>
      </c>
      <c r="M29" s="175">
        <f t="shared" si="9"/>
        <v>0</v>
      </c>
      <c r="N29" s="176">
        <f t="shared" si="10"/>
        <v>59999.999999999993</v>
      </c>
      <c r="O29" s="177">
        <f t="shared" si="11"/>
        <v>139999.99999999997</v>
      </c>
      <c r="P29" s="177">
        <f t="shared" si="12"/>
        <v>0</v>
      </c>
      <c r="Q29" s="170">
        <v>0.3</v>
      </c>
      <c r="R29" s="178">
        <f t="shared" si="13"/>
        <v>0.7</v>
      </c>
      <c r="S29" s="176">
        <f t="shared" si="14"/>
        <v>60000</v>
      </c>
      <c r="T29" s="179">
        <f t="shared" si="15"/>
        <v>140000</v>
      </c>
      <c r="U29" s="91"/>
      <c r="V29" s="276">
        <v>2034</v>
      </c>
      <c r="W29" s="150"/>
      <c r="X29" s="127">
        <f t="shared" si="16"/>
        <v>59999.999999999993</v>
      </c>
      <c r="Y29" s="127">
        <f t="shared" si="16"/>
        <v>139999.99999999997</v>
      </c>
      <c r="Z29" s="317"/>
      <c r="AA29" s="149"/>
      <c r="AB29" s="215">
        <f t="shared" si="1"/>
        <v>169999.99999999997</v>
      </c>
      <c r="AC29" s="182">
        <f>AB29-'VMT Build'!AB26</f>
        <v>21499.999999999971</v>
      </c>
      <c r="AD29" s="181">
        <f>(W29/$D$5)*'Berth Time'!$F$11+(X29/$D$5)*'Berth Time'!$E$11+'Berth Time'!$H$11*('VMT No Build'!Y29/$D$5)+('VMT No Build'!Z29/$D$5)*'Berth Time'!$G$11+(AA29/$D$5)*'Berth Time'!$I$11</f>
        <v>2833.3333333333326</v>
      </c>
      <c r="AE29" s="182">
        <f>AD29-'VMT Build'!AD26</f>
        <v>1259.9999999999993</v>
      </c>
      <c r="AF29" s="91"/>
      <c r="AG29" s="180">
        <f>X29-'VMT Build'!X26</f>
        <v>14999.999999999993</v>
      </c>
    </row>
    <row r="30" spans="1:34" x14ac:dyDescent="0.25">
      <c r="A30" s="17">
        <f t="shared" ref="A30:B42" si="19">1+A29</f>
        <v>2035</v>
      </c>
      <c r="B30" s="17">
        <f t="shared" si="19"/>
        <v>18</v>
      </c>
      <c r="C30" s="165">
        <v>200000</v>
      </c>
      <c r="D30" s="166"/>
      <c r="E30" s="167"/>
      <c r="F30" s="299">
        <f t="shared" si="3"/>
        <v>200000</v>
      </c>
      <c r="G30" s="169">
        <f t="shared" si="4"/>
        <v>112.79494969709097</v>
      </c>
      <c r="H30" s="170">
        <v>0.3</v>
      </c>
      <c r="I30" s="171">
        <f t="shared" si="17"/>
        <v>0.7</v>
      </c>
      <c r="J30" s="172">
        <f t="shared" si="18"/>
        <v>0</v>
      </c>
      <c r="K30" s="173">
        <f t="shared" si="7"/>
        <v>33.838484909127288</v>
      </c>
      <c r="L30" s="174">
        <f t="shared" si="8"/>
        <v>78.956464787963668</v>
      </c>
      <c r="M30" s="175">
        <f t="shared" si="9"/>
        <v>0</v>
      </c>
      <c r="N30" s="176">
        <f t="shared" si="10"/>
        <v>59999.999999999993</v>
      </c>
      <c r="O30" s="177">
        <f t="shared" si="11"/>
        <v>139999.99999999997</v>
      </c>
      <c r="P30" s="177">
        <f t="shared" si="12"/>
        <v>0</v>
      </c>
      <c r="Q30" s="170">
        <v>0.3</v>
      </c>
      <c r="R30" s="178">
        <f t="shared" si="13"/>
        <v>0.7</v>
      </c>
      <c r="S30" s="176">
        <f t="shared" si="14"/>
        <v>60000</v>
      </c>
      <c r="T30" s="179">
        <f t="shared" si="15"/>
        <v>140000</v>
      </c>
      <c r="U30" s="91"/>
      <c r="V30" s="276">
        <v>2035</v>
      </c>
      <c r="W30" s="150"/>
      <c r="X30" s="127">
        <f t="shared" si="16"/>
        <v>59999.999999999993</v>
      </c>
      <c r="Y30" s="127">
        <f t="shared" si="16"/>
        <v>139999.99999999997</v>
      </c>
      <c r="Z30" s="317"/>
      <c r="AA30" s="149"/>
      <c r="AB30" s="215">
        <f t="shared" si="1"/>
        <v>169999.99999999997</v>
      </c>
      <c r="AC30" s="182">
        <f>AB30-'VMT Build'!AB27</f>
        <v>21499.999999999971</v>
      </c>
      <c r="AD30" s="181">
        <f>(W30/$D$5)*'Berth Time'!$F$11+(X30/$D$5)*'Berth Time'!$E$11+'Berth Time'!$H$11*('VMT No Build'!Y30/$D$5)+('VMT No Build'!Z30/$D$5)*'Berth Time'!$G$11+(AA30/$D$5)*'Berth Time'!$I$11</f>
        <v>2833.3333333333326</v>
      </c>
      <c r="AE30" s="182">
        <f>AD30-'VMT Build'!AD27</f>
        <v>1259.9999999999993</v>
      </c>
      <c r="AF30" s="91"/>
      <c r="AG30" s="180">
        <f>X30-'VMT Build'!X27</f>
        <v>14999.999999999993</v>
      </c>
    </row>
    <row r="31" spans="1:34" x14ac:dyDescent="0.25">
      <c r="A31" s="17">
        <f t="shared" si="19"/>
        <v>2036</v>
      </c>
      <c r="B31" s="17">
        <f t="shared" si="19"/>
        <v>19</v>
      </c>
      <c r="C31" s="165">
        <v>200000</v>
      </c>
      <c r="D31" s="166"/>
      <c r="E31" s="167"/>
      <c r="F31" s="299">
        <f t="shared" si="3"/>
        <v>200000</v>
      </c>
      <c r="G31" s="169">
        <f t="shared" si="4"/>
        <v>112.79494969709097</v>
      </c>
      <c r="H31" s="170">
        <v>0.3</v>
      </c>
      <c r="I31" s="171">
        <f t="shared" si="17"/>
        <v>0.7</v>
      </c>
      <c r="J31" s="172">
        <f t="shared" si="18"/>
        <v>0</v>
      </c>
      <c r="K31" s="173">
        <f t="shared" si="7"/>
        <v>33.838484909127288</v>
      </c>
      <c r="L31" s="174">
        <f t="shared" si="8"/>
        <v>78.956464787963668</v>
      </c>
      <c r="M31" s="175">
        <f t="shared" si="9"/>
        <v>0</v>
      </c>
      <c r="N31" s="176">
        <f t="shared" si="10"/>
        <v>59999.999999999993</v>
      </c>
      <c r="O31" s="177">
        <f t="shared" si="11"/>
        <v>139999.99999999997</v>
      </c>
      <c r="P31" s="177">
        <f t="shared" si="12"/>
        <v>0</v>
      </c>
      <c r="Q31" s="170">
        <v>0.3</v>
      </c>
      <c r="R31" s="178">
        <f t="shared" si="13"/>
        <v>0.7</v>
      </c>
      <c r="S31" s="176">
        <f t="shared" si="14"/>
        <v>60000</v>
      </c>
      <c r="T31" s="179">
        <f t="shared" si="15"/>
        <v>140000</v>
      </c>
      <c r="U31" s="91"/>
      <c r="V31" s="276">
        <v>2036</v>
      </c>
      <c r="W31" s="150"/>
      <c r="X31" s="127">
        <f t="shared" si="16"/>
        <v>59999.999999999993</v>
      </c>
      <c r="Y31" s="127">
        <f t="shared" si="16"/>
        <v>139999.99999999997</v>
      </c>
      <c r="Z31" s="317"/>
      <c r="AA31" s="149"/>
      <c r="AB31" s="215">
        <f t="shared" si="1"/>
        <v>169999.99999999997</v>
      </c>
      <c r="AC31" s="182">
        <f>AB31-'VMT Build'!AB28</f>
        <v>21499.999999999971</v>
      </c>
      <c r="AD31" s="181">
        <f>(W31/$D$5)*'Berth Time'!$F$11+(X31/$D$5)*'Berth Time'!$E$11+'Berth Time'!$H$11*('VMT No Build'!Y31/$D$5)+('VMT No Build'!Z31/$D$5)*'Berth Time'!$G$11+(AA31/$D$5)*'Berth Time'!$I$11</f>
        <v>2833.3333333333326</v>
      </c>
      <c r="AE31" s="182">
        <f>AD31-'VMT Build'!AD28</f>
        <v>1259.9999999999993</v>
      </c>
      <c r="AF31" s="91"/>
      <c r="AG31" s="180">
        <f>X31-'VMT Build'!X28</f>
        <v>14999.999999999993</v>
      </c>
    </row>
    <row r="32" spans="1:34" x14ac:dyDescent="0.25">
      <c r="A32" s="17">
        <f t="shared" si="19"/>
        <v>2037</v>
      </c>
      <c r="B32" s="17">
        <f t="shared" si="19"/>
        <v>20</v>
      </c>
      <c r="C32" s="165">
        <v>200000</v>
      </c>
      <c r="D32" s="166"/>
      <c r="E32" s="167"/>
      <c r="F32" s="299">
        <f t="shared" si="3"/>
        <v>200000</v>
      </c>
      <c r="G32" s="169">
        <f t="shared" si="4"/>
        <v>112.79494969709097</v>
      </c>
      <c r="H32" s="170">
        <v>0.3</v>
      </c>
      <c r="I32" s="171">
        <f t="shared" si="17"/>
        <v>0.7</v>
      </c>
      <c r="J32" s="172">
        <f t="shared" si="18"/>
        <v>0</v>
      </c>
      <c r="K32" s="173">
        <f t="shared" si="7"/>
        <v>33.838484909127288</v>
      </c>
      <c r="L32" s="174">
        <f t="shared" si="8"/>
        <v>78.956464787963668</v>
      </c>
      <c r="M32" s="175">
        <f t="shared" si="9"/>
        <v>0</v>
      </c>
      <c r="N32" s="176">
        <f t="shared" si="10"/>
        <v>59999.999999999993</v>
      </c>
      <c r="O32" s="177">
        <f t="shared" si="11"/>
        <v>139999.99999999997</v>
      </c>
      <c r="P32" s="177">
        <f t="shared" si="12"/>
        <v>0</v>
      </c>
      <c r="Q32" s="170">
        <v>0.3</v>
      </c>
      <c r="R32" s="178">
        <f t="shared" si="13"/>
        <v>0.7</v>
      </c>
      <c r="S32" s="176">
        <f t="shared" si="14"/>
        <v>60000</v>
      </c>
      <c r="T32" s="179">
        <f t="shared" si="15"/>
        <v>140000</v>
      </c>
      <c r="U32" s="91"/>
      <c r="V32" s="276">
        <v>2037</v>
      </c>
      <c r="W32" s="150"/>
      <c r="X32" s="127">
        <f t="shared" si="16"/>
        <v>59999.999999999993</v>
      </c>
      <c r="Y32" s="127">
        <f t="shared" si="16"/>
        <v>139999.99999999997</v>
      </c>
      <c r="Z32" s="317"/>
      <c r="AA32" s="149"/>
      <c r="AB32" s="215">
        <f t="shared" si="1"/>
        <v>169999.99999999997</v>
      </c>
      <c r="AC32" s="182">
        <f>AB32-'VMT Build'!AB29</f>
        <v>21499.999999999971</v>
      </c>
      <c r="AD32" s="181">
        <f>(W32/$D$5)*'Berth Time'!$F$11+(X32/$D$5)*'Berth Time'!$E$11+'Berth Time'!$H$11*('VMT No Build'!Y32/$D$5)+('VMT No Build'!Z32/$D$5)*'Berth Time'!$G$11+(AA32/$D$5)*'Berth Time'!$I$11</f>
        <v>2833.3333333333326</v>
      </c>
      <c r="AE32" s="182">
        <f>AD32-'VMT Build'!AD29</f>
        <v>1259.9999999999993</v>
      </c>
      <c r="AF32" s="91"/>
      <c r="AG32" s="180">
        <f>X32-'VMT Build'!X29</f>
        <v>14999.999999999993</v>
      </c>
    </row>
    <row r="33" spans="1:33" x14ac:dyDescent="0.25">
      <c r="A33" s="17">
        <f t="shared" si="19"/>
        <v>2038</v>
      </c>
      <c r="B33" s="17">
        <f t="shared" si="19"/>
        <v>21</v>
      </c>
      <c r="C33" s="165">
        <v>200000</v>
      </c>
      <c r="D33" s="166"/>
      <c r="E33" s="167"/>
      <c r="F33" s="299">
        <f t="shared" si="3"/>
        <v>200000</v>
      </c>
      <c r="G33" s="169">
        <f t="shared" si="4"/>
        <v>112.79494969709097</v>
      </c>
      <c r="H33" s="170">
        <v>0.3</v>
      </c>
      <c r="I33" s="171">
        <f t="shared" si="17"/>
        <v>0.7</v>
      </c>
      <c r="J33" s="172">
        <f t="shared" si="18"/>
        <v>0</v>
      </c>
      <c r="K33" s="173">
        <f t="shared" si="7"/>
        <v>33.838484909127288</v>
      </c>
      <c r="L33" s="174">
        <f t="shared" si="8"/>
        <v>78.956464787963668</v>
      </c>
      <c r="M33" s="175">
        <f t="shared" si="9"/>
        <v>0</v>
      </c>
      <c r="N33" s="176">
        <f t="shared" si="10"/>
        <v>59999.999999999993</v>
      </c>
      <c r="O33" s="177">
        <f t="shared" si="11"/>
        <v>139999.99999999997</v>
      </c>
      <c r="P33" s="177">
        <f t="shared" si="12"/>
        <v>0</v>
      </c>
      <c r="Q33" s="170">
        <v>0.3</v>
      </c>
      <c r="R33" s="178">
        <f t="shared" si="13"/>
        <v>0.7</v>
      </c>
      <c r="S33" s="176">
        <f t="shared" si="14"/>
        <v>60000</v>
      </c>
      <c r="T33" s="179">
        <f t="shared" si="15"/>
        <v>140000</v>
      </c>
      <c r="U33" s="91"/>
      <c r="V33" s="276">
        <v>2038</v>
      </c>
      <c r="W33" s="150"/>
      <c r="X33" s="127">
        <f t="shared" si="16"/>
        <v>59999.999999999993</v>
      </c>
      <c r="Y33" s="127">
        <f t="shared" si="16"/>
        <v>139999.99999999997</v>
      </c>
      <c r="Z33" s="317"/>
      <c r="AA33" s="149"/>
      <c r="AB33" s="215">
        <f t="shared" si="1"/>
        <v>169999.99999999997</v>
      </c>
      <c r="AC33" s="182">
        <f>AB33-'VMT Build'!AB30</f>
        <v>21499.999999999971</v>
      </c>
      <c r="AD33" s="181">
        <f>(W33/$D$5)*'Berth Time'!$F$11+(X33/$D$5)*'Berth Time'!$E$11+'Berth Time'!$H$11*('VMT No Build'!Y33/$D$5)+('VMT No Build'!Z33/$D$5)*'Berth Time'!$G$11+(AA33/$D$5)*'Berth Time'!$I$11</f>
        <v>2833.3333333333326</v>
      </c>
      <c r="AE33" s="182">
        <f>AD33-'VMT Build'!AD30</f>
        <v>1259.9999999999993</v>
      </c>
      <c r="AF33" s="91"/>
      <c r="AG33" s="180">
        <f>X33-'VMT Build'!X30</f>
        <v>14999.999999999993</v>
      </c>
    </row>
    <row r="34" spans="1:33" x14ac:dyDescent="0.25">
      <c r="A34" s="17">
        <f t="shared" si="19"/>
        <v>2039</v>
      </c>
      <c r="B34" s="17">
        <f t="shared" si="19"/>
        <v>22</v>
      </c>
      <c r="C34" s="165">
        <v>200000</v>
      </c>
      <c r="D34" s="166"/>
      <c r="E34" s="167"/>
      <c r="F34" s="299">
        <f t="shared" si="3"/>
        <v>200000</v>
      </c>
      <c r="G34" s="169">
        <f t="shared" si="4"/>
        <v>112.79494969709097</v>
      </c>
      <c r="H34" s="170">
        <v>0.3</v>
      </c>
      <c r="I34" s="171">
        <f t="shared" si="17"/>
        <v>0.7</v>
      </c>
      <c r="J34" s="172">
        <f t="shared" si="18"/>
        <v>0</v>
      </c>
      <c r="K34" s="173">
        <f t="shared" si="7"/>
        <v>33.838484909127288</v>
      </c>
      <c r="L34" s="174">
        <f t="shared" si="8"/>
        <v>78.956464787963668</v>
      </c>
      <c r="M34" s="175">
        <f t="shared" si="9"/>
        <v>0</v>
      </c>
      <c r="N34" s="176">
        <f t="shared" si="10"/>
        <v>59999.999999999993</v>
      </c>
      <c r="O34" s="177">
        <f t="shared" si="11"/>
        <v>139999.99999999997</v>
      </c>
      <c r="P34" s="177">
        <f t="shared" si="12"/>
        <v>0</v>
      </c>
      <c r="Q34" s="170">
        <v>0.3</v>
      </c>
      <c r="R34" s="178">
        <f t="shared" si="13"/>
        <v>0.7</v>
      </c>
      <c r="S34" s="176">
        <f t="shared" si="14"/>
        <v>60000</v>
      </c>
      <c r="T34" s="179">
        <f t="shared" si="15"/>
        <v>140000</v>
      </c>
      <c r="U34" s="91"/>
      <c r="V34" s="276">
        <v>2039</v>
      </c>
      <c r="W34" s="150"/>
      <c r="X34" s="127">
        <f t="shared" si="16"/>
        <v>59999.999999999993</v>
      </c>
      <c r="Y34" s="127">
        <f t="shared" si="16"/>
        <v>139999.99999999997</v>
      </c>
      <c r="Z34" s="317"/>
      <c r="AA34" s="149"/>
      <c r="AB34" s="215">
        <f t="shared" si="1"/>
        <v>169999.99999999997</v>
      </c>
      <c r="AC34" s="182">
        <f>AB34-'VMT Build'!AB31</f>
        <v>21499.999999999971</v>
      </c>
      <c r="AD34" s="181">
        <f>(W34/$D$5)*'Berth Time'!$F$11+(X34/$D$5)*'Berth Time'!$E$11+'Berth Time'!$H$11*('VMT No Build'!Y34/$D$5)+('VMT No Build'!Z34/$D$5)*'Berth Time'!$G$11+(AA34/$D$5)*'Berth Time'!$I$11</f>
        <v>2833.3333333333326</v>
      </c>
      <c r="AE34" s="182">
        <f>AD34-'VMT Build'!AD31</f>
        <v>1259.9999999999993</v>
      </c>
      <c r="AF34" s="91"/>
      <c r="AG34" s="180">
        <f>X34-'VMT Build'!X31</f>
        <v>14999.999999999993</v>
      </c>
    </row>
    <row r="35" spans="1:33" x14ac:dyDescent="0.25">
      <c r="A35" s="17">
        <f t="shared" si="19"/>
        <v>2040</v>
      </c>
      <c r="B35" s="17">
        <f t="shared" si="19"/>
        <v>23</v>
      </c>
      <c r="C35" s="165">
        <v>200000</v>
      </c>
      <c r="D35" s="166"/>
      <c r="E35" s="167"/>
      <c r="F35" s="299">
        <f t="shared" si="3"/>
        <v>200000</v>
      </c>
      <c r="G35" s="169">
        <f t="shared" si="4"/>
        <v>112.79494969709097</v>
      </c>
      <c r="H35" s="170">
        <v>0.3</v>
      </c>
      <c r="I35" s="171">
        <f t="shared" si="17"/>
        <v>0.7</v>
      </c>
      <c r="J35" s="172">
        <f t="shared" si="18"/>
        <v>0</v>
      </c>
      <c r="K35" s="173">
        <f t="shared" si="7"/>
        <v>33.838484909127288</v>
      </c>
      <c r="L35" s="174">
        <f t="shared" si="8"/>
        <v>78.956464787963668</v>
      </c>
      <c r="M35" s="175">
        <f t="shared" si="9"/>
        <v>0</v>
      </c>
      <c r="N35" s="176">
        <f t="shared" si="10"/>
        <v>59999.999999999993</v>
      </c>
      <c r="O35" s="177">
        <f t="shared" si="11"/>
        <v>139999.99999999997</v>
      </c>
      <c r="P35" s="177">
        <f t="shared" si="12"/>
        <v>0</v>
      </c>
      <c r="Q35" s="170">
        <v>0.3</v>
      </c>
      <c r="R35" s="178">
        <f t="shared" si="13"/>
        <v>0.7</v>
      </c>
      <c r="S35" s="176">
        <f t="shared" si="14"/>
        <v>60000</v>
      </c>
      <c r="T35" s="179">
        <f t="shared" si="15"/>
        <v>140000</v>
      </c>
      <c r="U35" s="91"/>
      <c r="V35" s="276">
        <v>2040</v>
      </c>
      <c r="W35" s="150"/>
      <c r="X35" s="127">
        <f t="shared" si="16"/>
        <v>59999.999999999993</v>
      </c>
      <c r="Y35" s="127">
        <f t="shared" si="16"/>
        <v>139999.99999999997</v>
      </c>
      <c r="Z35" s="317"/>
      <c r="AA35" s="149"/>
      <c r="AB35" s="215">
        <f t="shared" si="1"/>
        <v>169999.99999999997</v>
      </c>
      <c r="AC35" s="182">
        <f>AB35-'VMT Build'!AB32</f>
        <v>21499.999999999971</v>
      </c>
      <c r="AD35" s="181">
        <f>(W35/$D$5)*'Berth Time'!$F$11+(X35/$D$5)*'Berth Time'!$E$11+'Berth Time'!$H$11*('VMT No Build'!Y35/$D$5)+('VMT No Build'!Z35/$D$5)*'Berth Time'!$G$11+(AA35/$D$5)*'Berth Time'!$I$11</f>
        <v>2833.3333333333326</v>
      </c>
      <c r="AE35" s="182">
        <f>AD35-'VMT Build'!AD32</f>
        <v>1259.9999999999993</v>
      </c>
      <c r="AF35" s="91"/>
      <c r="AG35" s="180">
        <f>X35-'VMT Build'!X32</f>
        <v>14999.999999999993</v>
      </c>
    </row>
    <row r="36" spans="1:33" x14ac:dyDescent="0.25">
      <c r="A36" s="17">
        <f t="shared" si="19"/>
        <v>2041</v>
      </c>
      <c r="B36" s="17">
        <f t="shared" si="19"/>
        <v>24</v>
      </c>
      <c r="C36" s="165">
        <v>200000</v>
      </c>
      <c r="D36" s="166"/>
      <c r="E36" s="167"/>
      <c r="F36" s="299">
        <f t="shared" si="3"/>
        <v>200000</v>
      </c>
      <c r="G36" s="169">
        <f t="shared" si="4"/>
        <v>112.79494969709097</v>
      </c>
      <c r="H36" s="170">
        <v>0.3</v>
      </c>
      <c r="I36" s="171">
        <f t="shared" si="17"/>
        <v>0.7</v>
      </c>
      <c r="J36" s="172">
        <f t="shared" si="18"/>
        <v>0</v>
      </c>
      <c r="K36" s="173">
        <f t="shared" si="7"/>
        <v>33.838484909127288</v>
      </c>
      <c r="L36" s="174">
        <f t="shared" si="8"/>
        <v>78.956464787963668</v>
      </c>
      <c r="M36" s="175">
        <f t="shared" si="9"/>
        <v>0</v>
      </c>
      <c r="N36" s="176">
        <f t="shared" si="10"/>
        <v>59999.999999999993</v>
      </c>
      <c r="O36" s="177">
        <f t="shared" si="11"/>
        <v>139999.99999999997</v>
      </c>
      <c r="P36" s="177">
        <f t="shared" si="12"/>
        <v>0</v>
      </c>
      <c r="Q36" s="170">
        <v>0.3</v>
      </c>
      <c r="R36" s="178">
        <f t="shared" si="13"/>
        <v>0.7</v>
      </c>
      <c r="S36" s="176">
        <f t="shared" si="14"/>
        <v>60000</v>
      </c>
      <c r="T36" s="179">
        <f t="shared" si="15"/>
        <v>140000</v>
      </c>
      <c r="U36" s="91"/>
      <c r="V36" s="276">
        <v>2041</v>
      </c>
      <c r="W36" s="150"/>
      <c r="X36" s="127">
        <f t="shared" si="16"/>
        <v>59999.999999999993</v>
      </c>
      <c r="Y36" s="127">
        <f t="shared" si="16"/>
        <v>139999.99999999997</v>
      </c>
      <c r="Z36" s="317"/>
      <c r="AA36" s="149"/>
      <c r="AB36" s="215">
        <f t="shared" si="1"/>
        <v>169999.99999999997</v>
      </c>
      <c r="AC36" s="182">
        <f>AB36-'VMT Build'!AB33</f>
        <v>21499.999999999971</v>
      </c>
      <c r="AD36" s="181">
        <f>(W36/$D$5)*'Berth Time'!$F$11+(X36/$D$5)*'Berth Time'!$E$11+'Berth Time'!$H$11*('VMT No Build'!Y36/$D$5)+('VMT No Build'!Z36/$D$5)*'Berth Time'!$G$11+(AA36/$D$5)*'Berth Time'!$I$11</f>
        <v>2833.3333333333326</v>
      </c>
      <c r="AE36" s="182">
        <f>AD36-'VMT Build'!AD33</f>
        <v>1259.9999999999993</v>
      </c>
      <c r="AF36" s="91"/>
      <c r="AG36" s="180">
        <f>X36-'VMT Build'!X33</f>
        <v>14999.999999999993</v>
      </c>
    </row>
    <row r="37" spans="1:33" x14ac:dyDescent="0.25">
      <c r="A37" s="17">
        <f t="shared" si="19"/>
        <v>2042</v>
      </c>
      <c r="B37" s="17">
        <f t="shared" si="19"/>
        <v>25</v>
      </c>
      <c r="C37" s="165">
        <v>200000</v>
      </c>
      <c r="D37" s="166"/>
      <c r="E37" s="167"/>
      <c r="F37" s="299">
        <f t="shared" si="3"/>
        <v>200000</v>
      </c>
      <c r="G37" s="169">
        <f t="shared" si="4"/>
        <v>112.79494969709097</v>
      </c>
      <c r="H37" s="170">
        <v>0.3</v>
      </c>
      <c r="I37" s="171">
        <f t="shared" si="17"/>
        <v>0.7</v>
      </c>
      <c r="J37" s="172">
        <f t="shared" si="18"/>
        <v>0</v>
      </c>
      <c r="K37" s="173">
        <f t="shared" si="7"/>
        <v>33.838484909127288</v>
      </c>
      <c r="L37" s="174">
        <f t="shared" si="8"/>
        <v>78.956464787963668</v>
      </c>
      <c r="M37" s="175">
        <f t="shared" si="9"/>
        <v>0</v>
      </c>
      <c r="N37" s="176">
        <f t="shared" si="10"/>
        <v>59999.999999999993</v>
      </c>
      <c r="O37" s="177">
        <f t="shared" si="11"/>
        <v>139999.99999999997</v>
      </c>
      <c r="P37" s="177">
        <f t="shared" si="12"/>
        <v>0</v>
      </c>
      <c r="Q37" s="170">
        <v>0.3</v>
      </c>
      <c r="R37" s="178">
        <f t="shared" si="13"/>
        <v>0.7</v>
      </c>
      <c r="S37" s="176">
        <f t="shared" si="14"/>
        <v>60000</v>
      </c>
      <c r="T37" s="179">
        <f t="shared" si="15"/>
        <v>140000</v>
      </c>
      <c r="U37" s="91"/>
      <c r="V37" s="276">
        <v>2042</v>
      </c>
      <c r="W37" s="150"/>
      <c r="X37" s="127">
        <f t="shared" si="16"/>
        <v>59999.999999999993</v>
      </c>
      <c r="Y37" s="127">
        <f t="shared" si="16"/>
        <v>139999.99999999997</v>
      </c>
      <c r="Z37" s="317"/>
      <c r="AA37" s="149"/>
      <c r="AB37" s="215">
        <f t="shared" si="1"/>
        <v>169999.99999999997</v>
      </c>
      <c r="AC37" s="182">
        <f>AB37-'VMT Build'!AB34</f>
        <v>21499.999999999971</v>
      </c>
      <c r="AD37" s="181">
        <f>(W37/$D$5)*'Berth Time'!$F$11+(X37/$D$5)*'Berth Time'!$E$11+'Berth Time'!$H$11*('VMT No Build'!Y37/$D$5)+('VMT No Build'!Z37/$D$5)*'Berth Time'!$G$11+(AA37/$D$5)*'Berth Time'!$I$11</f>
        <v>2833.3333333333326</v>
      </c>
      <c r="AE37" s="182">
        <f>AD37-'VMT Build'!AD34</f>
        <v>1259.9999999999993</v>
      </c>
      <c r="AF37" s="91"/>
      <c r="AG37" s="180">
        <f>X37-'VMT Build'!X34</f>
        <v>14999.999999999993</v>
      </c>
    </row>
    <row r="38" spans="1:33" x14ac:dyDescent="0.25">
      <c r="A38" s="17">
        <f t="shared" si="19"/>
        <v>2043</v>
      </c>
      <c r="B38" s="17">
        <f t="shared" si="19"/>
        <v>26</v>
      </c>
      <c r="C38" s="165">
        <v>200000</v>
      </c>
      <c r="D38" s="166"/>
      <c r="E38" s="167"/>
      <c r="F38" s="299">
        <f t="shared" si="3"/>
        <v>200000</v>
      </c>
      <c r="G38" s="169">
        <f t="shared" si="4"/>
        <v>112.79494969709097</v>
      </c>
      <c r="H38" s="170">
        <v>0.3</v>
      </c>
      <c r="I38" s="171">
        <f t="shared" si="17"/>
        <v>0.7</v>
      </c>
      <c r="J38" s="172">
        <f t="shared" si="18"/>
        <v>0</v>
      </c>
      <c r="K38" s="173">
        <f t="shared" si="7"/>
        <v>33.838484909127288</v>
      </c>
      <c r="L38" s="174">
        <f t="shared" si="8"/>
        <v>78.956464787963668</v>
      </c>
      <c r="M38" s="175">
        <f t="shared" si="9"/>
        <v>0</v>
      </c>
      <c r="N38" s="176">
        <f t="shared" si="10"/>
        <v>59999.999999999993</v>
      </c>
      <c r="O38" s="177">
        <f t="shared" si="11"/>
        <v>139999.99999999997</v>
      </c>
      <c r="P38" s="177">
        <f t="shared" si="12"/>
        <v>0</v>
      </c>
      <c r="Q38" s="170">
        <v>0.3</v>
      </c>
      <c r="R38" s="178">
        <f t="shared" si="13"/>
        <v>0.7</v>
      </c>
      <c r="S38" s="176">
        <f t="shared" si="14"/>
        <v>60000</v>
      </c>
      <c r="T38" s="179">
        <f t="shared" si="15"/>
        <v>140000</v>
      </c>
      <c r="U38" s="91"/>
      <c r="V38" s="276">
        <v>2043</v>
      </c>
      <c r="W38" s="150"/>
      <c r="X38" s="127">
        <f t="shared" si="16"/>
        <v>59999.999999999993</v>
      </c>
      <c r="Y38" s="127">
        <f t="shared" si="16"/>
        <v>139999.99999999997</v>
      </c>
      <c r="Z38" s="317"/>
      <c r="AA38" s="149"/>
      <c r="AB38" s="215">
        <f t="shared" si="1"/>
        <v>169999.99999999997</v>
      </c>
      <c r="AC38" s="182">
        <f>AB38-'VMT Build'!AB35</f>
        <v>21499.999999999971</v>
      </c>
      <c r="AD38" s="181">
        <f>(W38/$D$5)*'Berth Time'!$F$11+(X38/$D$5)*'Berth Time'!$E$11+'Berth Time'!$H$11*('VMT No Build'!Y38/$D$5)+('VMT No Build'!Z38/$D$5)*'Berth Time'!$G$11+(AA38/$D$5)*'Berth Time'!$I$11</f>
        <v>2833.3333333333326</v>
      </c>
      <c r="AE38" s="182">
        <f>AD38-'VMT Build'!AD35</f>
        <v>1259.9999999999993</v>
      </c>
      <c r="AF38" s="91"/>
      <c r="AG38" s="180">
        <f>X38-'VMT Build'!X35</f>
        <v>14999.999999999993</v>
      </c>
    </row>
    <row r="39" spans="1:33" x14ac:dyDescent="0.25">
      <c r="A39" s="17">
        <f t="shared" si="19"/>
        <v>2044</v>
      </c>
      <c r="B39" s="17">
        <f t="shared" si="19"/>
        <v>27</v>
      </c>
      <c r="C39" s="165">
        <v>200000</v>
      </c>
      <c r="D39" s="166"/>
      <c r="E39" s="167"/>
      <c r="F39" s="299">
        <f t="shared" si="3"/>
        <v>200000</v>
      </c>
      <c r="G39" s="169">
        <f t="shared" si="4"/>
        <v>112.79494969709097</v>
      </c>
      <c r="H39" s="170">
        <v>0.3</v>
      </c>
      <c r="I39" s="171">
        <f t="shared" si="17"/>
        <v>0.7</v>
      </c>
      <c r="J39" s="172">
        <f t="shared" si="18"/>
        <v>0</v>
      </c>
      <c r="K39" s="173">
        <f t="shared" si="7"/>
        <v>33.838484909127288</v>
      </c>
      <c r="L39" s="174">
        <f t="shared" si="8"/>
        <v>78.956464787963668</v>
      </c>
      <c r="M39" s="175">
        <f t="shared" si="9"/>
        <v>0</v>
      </c>
      <c r="N39" s="176">
        <f t="shared" si="10"/>
        <v>59999.999999999993</v>
      </c>
      <c r="O39" s="177">
        <f t="shared" si="11"/>
        <v>139999.99999999997</v>
      </c>
      <c r="P39" s="177">
        <f t="shared" si="12"/>
        <v>0</v>
      </c>
      <c r="Q39" s="170">
        <v>0.3</v>
      </c>
      <c r="R39" s="178">
        <f t="shared" si="13"/>
        <v>0.7</v>
      </c>
      <c r="S39" s="176">
        <f t="shared" si="14"/>
        <v>60000</v>
      </c>
      <c r="T39" s="179">
        <f t="shared" si="15"/>
        <v>140000</v>
      </c>
      <c r="U39" s="91"/>
      <c r="V39" s="276">
        <v>2044</v>
      </c>
      <c r="W39" s="150"/>
      <c r="X39" s="127">
        <f t="shared" si="16"/>
        <v>59999.999999999993</v>
      </c>
      <c r="Y39" s="127">
        <f t="shared" si="16"/>
        <v>139999.99999999997</v>
      </c>
      <c r="Z39" s="317"/>
      <c r="AA39" s="149"/>
      <c r="AB39" s="215">
        <f t="shared" si="1"/>
        <v>169999.99999999997</v>
      </c>
      <c r="AC39" s="182">
        <f>AB39-'VMT Build'!AB36</f>
        <v>21499.999999999971</v>
      </c>
      <c r="AD39" s="181">
        <f>(W39/$D$5)*'Berth Time'!$F$11+(X39/$D$5)*'Berth Time'!$E$11+'Berth Time'!$H$11*('VMT No Build'!Y39/$D$5)+('VMT No Build'!Z39/$D$5)*'Berth Time'!$G$11+(AA39/$D$5)*'Berth Time'!$I$11</f>
        <v>2833.3333333333326</v>
      </c>
      <c r="AE39" s="182">
        <f>AD39-'VMT Build'!AD36</f>
        <v>1259.9999999999993</v>
      </c>
      <c r="AF39" s="91"/>
      <c r="AG39" s="180">
        <f>X39-'VMT Build'!X36</f>
        <v>14999.999999999993</v>
      </c>
    </row>
    <row r="40" spans="1:33" x14ac:dyDescent="0.25">
      <c r="A40" s="17">
        <f t="shared" si="19"/>
        <v>2045</v>
      </c>
      <c r="B40" s="17">
        <f t="shared" si="19"/>
        <v>28</v>
      </c>
      <c r="C40" s="165">
        <v>200000</v>
      </c>
      <c r="D40" s="166"/>
      <c r="E40" s="167"/>
      <c r="F40" s="299">
        <f t="shared" si="3"/>
        <v>200000</v>
      </c>
      <c r="G40" s="169">
        <f t="shared" si="4"/>
        <v>112.79494969709097</v>
      </c>
      <c r="H40" s="170">
        <v>0.3</v>
      </c>
      <c r="I40" s="171">
        <f t="shared" si="17"/>
        <v>0.7</v>
      </c>
      <c r="J40" s="172">
        <f t="shared" si="18"/>
        <v>0</v>
      </c>
      <c r="K40" s="173">
        <f t="shared" si="7"/>
        <v>33.838484909127288</v>
      </c>
      <c r="L40" s="174">
        <f t="shared" si="8"/>
        <v>78.956464787963668</v>
      </c>
      <c r="M40" s="175">
        <f t="shared" si="9"/>
        <v>0</v>
      </c>
      <c r="N40" s="176">
        <f t="shared" si="10"/>
        <v>59999.999999999993</v>
      </c>
      <c r="O40" s="177">
        <f t="shared" si="11"/>
        <v>139999.99999999997</v>
      </c>
      <c r="P40" s="177">
        <f t="shared" si="12"/>
        <v>0</v>
      </c>
      <c r="Q40" s="170">
        <v>0.3</v>
      </c>
      <c r="R40" s="178">
        <f t="shared" si="13"/>
        <v>0.7</v>
      </c>
      <c r="S40" s="176">
        <f t="shared" si="14"/>
        <v>60000</v>
      </c>
      <c r="T40" s="179">
        <f t="shared" si="15"/>
        <v>140000</v>
      </c>
      <c r="U40" s="91"/>
      <c r="V40" s="276">
        <v>2045</v>
      </c>
      <c r="W40" s="150"/>
      <c r="X40" s="127">
        <f t="shared" si="16"/>
        <v>59999.999999999993</v>
      </c>
      <c r="Y40" s="127">
        <f t="shared" si="16"/>
        <v>139999.99999999997</v>
      </c>
      <c r="Z40" s="317"/>
      <c r="AA40" s="149"/>
      <c r="AB40" s="215">
        <f t="shared" si="1"/>
        <v>169999.99999999997</v>
      </c>
      <c r="AC40" s="182">
        <f>AB40-'VMT Build'!AB37</f>
        <v>21499.999999999971</v>
      </c>
      <c r="AD40" s="181">
        <f>(W40/$D$5)*'Berth Time'!$F$11+(X40/$D$5)*'Berth Time'!$E$11+'Berth Time'!$H$11*('VMT No Build'!Y40/$D$5)+('VMT No Build'!Z40/$D$5)*'Berth Time'!$G$11+(AA40/$D$5)*'Berth Time'!$I$11</f>
        <v>2833.3333333333326</v>
      </c>
      <c r="AE40" s="182">
        <f>AD40-'VMT Build'!AD37</f>
        <v>1259.9999999999993</v>
      </c>
      <c r="AF40" s="91"/>
      <c r="AG40" s="180">
        <f>X40-'VMT Build'!X37</f>
        <v>14999.999999999993</v>
      </c>
    </row>
    <row r="41" spans="1:33" x14ac:dyDescent="0.25">
      <c r="A41" s="17">
        <f t="shared" si="19"/>
        <v>2046</v>
      </c>
      <c r="B41" s="17">
        <f t="shared" si="19"/>
        <v>29</v>
      </c>
      <c r="C41" s="165">
        <v>200000</v>
      </c>
      <c r="D41" s="166"/>
      <c r="E41" s="167"/>
      <c r="F41" s="299">
        <f t="shared" si="3"/>
        <v>200000</v>
      </c>
      <c r="G41" s="169">
        <f t="shared" si="4"/>
        <v>112.79494969709097</v>
      </c>
      <c r="H41" s="170">
        <v>0.3</v>
      </c>
      <c r="I41" s="171">
        <f t="shared" si="17"/>
        <v>0.7</v>
      </c>
      <c r="J41" s="172">
        <f t="shared" si="18"/>
        <v>0</v>
      </c>
      <c r="K41" s="173">
        <f t="shared" si="7"/>
        <v>33.838484909127288</v>
      </c>
      <c r="L41" s="174">
        <f t="shared" si="8"/>
        <v>78.956464787963668</v>
      </c>
      <c r="M41" s="175">
        <f t="shared" si="9"/>
        <v>0</v>
      </c>
      <c r="N41" s="176">
        <f t="shared" si="10"/>
        <v>59999.999999999993</v>
      </c>
      <c r="O41" s="177">
        <f t="shared" si="11"/>
        <v>139999.99999999997</v>
      </c>
      <c r="P41" s="177">
        <f t="shared" si="12"/>
        <v>0</v>
      </c>
      <c r="Q41" s="170">
        <v>0.3</v>
      </c>
      <c r="R41" s="178">
        <f t="shared" si="13"/>
        <v>0.7</v>
      </c>
      <c r="S41" s="176">
        <f t="shared" si="14"/>
        <v>60000</v>
      </c>
      <c r="T41" s="179">
        <f t="shared" si="15"/>
        <v>140000</v>
      </c>
      <c r="U41" s="91"/>
      <c r="V41" s="276">
        <v>2046</v>
      </c>
      <c r="W41" s="150"/>
      <c r="X41" s="127">
        <f t="shared" si="16"/>
        <v>59999.999999999993</v>
      </c>
      <c r="Y41" s="127">
        <f t="shared" si="16"/>
        <v>139999.99999999997</v>
      </c>
      <c r="Z41" s="317"/>
      <c r="AA41" s="149"/>
      <c r="AB41" s="215">
        <f t="shared" si="1"/>
        <v>169999.99999999997</v>
      </c>
      <c r="AC41" s="182">
        <f>AB41-'VMT Build'!AB38</f>
        <v>21499.999999999971</v>
      </c>
      <c r="AD41" s="181">
        <f>(W41/$D$5)*'Berth Time'!$F$11+(X41/$D$5)*'Berth Time'!$E$11+'Berth Time'!$H$11*('VMT No Build'!Y41/$D$5)+('VMT No Build'!Z41/$D$5)*'Berth Time'!$G$11+(AA41/$D$5)*'Berth Time'!$I$11</f>
        <v>2833.3333333333326</v>
      </c>
      <c r="AE41" s="182">
        <f>AD41-'VMT Build'!AD38</f>
        <v>1259.9999999999993</v>
      </c>
      <c r="AF41" s="91"/>
      <c r="AG41" s="180">
        <f>X41-'VMT Build'!X38</f>
        <v>14999.999999999993</v>
      </c>
    </row>
    <row r="42" spans="1:33" ht="15.75" thickBot="1" x14ac:dyDescent="0.3">
      <c r="A42" s="17">
        <f t="shared" si="19"/>
        <v>2047</v>
      </c>
      <c r="B42" s="17">
        <f t="shared" ref="B42" si="20">1+B41</f>
        <v>30</v>
      </c>
      <c r="C42" s="165">
        <v>200000</v>
      </c>
      <c r="D42" s="166"/>
      <c r="E42" s="167"/>
      <c r="F42" s="300">
        <f t="shared" si="3"/>
        <v>200000</v>
      </c>
      <c r="G42" s="247">
        <f t="shared" si="4"/>
        <v>112.79494969709097</v>
      </c>
      <c r="H42" s="257">
        <v>0.3</v>
      </c>
      <c r="I42" s="258">
        <f t="shared" si="17"/>
        <v>0.7</v>
      </c>
      <c r="J42" s="259">
        <f t="shared" si="18"/>
        <v>0</v>
      </c>
      <c r="K42" s="173">
        <f t="shared" ref="K42:K46" si="21">+G42*H42</f>
        <v>33.838484909127288</v>
      </c>
      <c r="L42" s="174">
        <f t="shared" ref="L42:L46" si="22">+I42*G42</f>
        <v>78.956464787963668</v>
      </c>
      <c r="M42" s="175">
        <f t="shared" ref="M42:M46" si="23">+G42-K42-L42</f>
        <v>0</v>
      </c>
      <c r="N42" s="176">
        <f t="shared" si="10"/>
        <v>59999.999999999993</v>
      </c>
      <c r="O42" s="177">
        <f t="shared" si="11"/>
        <v>139999.99999999997</v>
      </c>
      <c r="P42" s="177">
        <f t="shared" ref="P42:P46" si="24">+F42-N42-O42</f>
        <v>0</v>
      </c>
      <c r="Q42" s="257">
        <v>0.3</v>
      </c>
      <c r="R42" s="268">
        <f t="shared" si="13"/>
        <v>0.7</v>
      </c>
      <c r="S42" s="176">
        <f t="shared" ref="S42:S46" si="25">+Q42*F42</f>
        <v>60000</v>
      </c>
      <c r="T42" s="179">
        <f t="shared" ref="T42:T46" si="26">+F42-S42</f>
        <v>140000</v>
      </c>
      <c r="U42" s="91"/>
      <c r="V42" s="277">
        <v>2047</v>
      </c>
      <c r="W42" s="284"/>
      <c r="X42" s="280">
        <f t="shared" si="16"/>
        <v>59999.999999999993</v>
      </c>
      <c r="Y42" s="280">
        <f t="shared" si="16"/>
        <v>139999.99999999997</v>
      </c>
      <c r="Z42" s="318"/>
      <c r="AA42" s="319"/>
      <c r="AB42" s="215">
        <f t="shared" si="1"/>
        <v>169999.99999999997</v>
      </c>
      <c r="AC42" s="182">
        <f>AB42-'VMT Build'!AB39</f>
        <v>21499.999999999971</v>
      </c>
      <c r="AD42" s="181">
        <f>(W42/$D$5)*'Berth Time'!$F$11+(X42/$D$5)*'Berth Time'!$E$11+'Berth Time'!$H$11*('VMT No Build'!Y42/$D$5)+('VMT No Build'!Z42/$D$5)*'Berth Time'!$G$11+(AA42/$D$5)*'Berth Time'!$I$11</f>
        <v>2833.3333333333326</v>
      </c>
      <c r="AE42" s="182">
        <f>AD42-'VMT Build'!AD39</f>
        <v>1259.9999999999993</v>
      </c>
      <c r="AF42" s="91"/>
      <c r="AG42" s="180">
        <f>X42-'VMT Build'!X39</f>
        <v>14999.999999999993</v>
      </c>
    </row>
    <row r="43" spans="1:33" ht="15.75" thickBot="1" x14ac:dyDescent="0.3">
      <c r="A43" s="17">
        <f t="shared" ref="A43:B43" si="27">1+A42</f>
        <v>2048</v>
      </c>
      <c r="B43" s="17">
        <f t="shared" si="27"/>
        <v>31</v>
      </c>
      <c r="C43" s="165">
        <v>200000</v>
      </c>
      <c r="D43" s="166"/>
      <c r="E43" s="167"/>
      <c r="F43" s="168">
        <f>SUM(C43:E43)</f>
        <v>200000</v>
      </c>
      <c r="G43" s="169">
        <f>+F43/$D$3</f>
        <v>112.79494969709097</v>
      </c>
      <c r="H43" s="257">
        <v>0.3</v>
      </c>
      <c r="I43" s="258">
        <f t="shared" ref="I43:I46" si="28">(+H43-1)*-1</f>
        <v>0.7</v>
      </c>
      <c r="J43" s="172">
        <f t="shared" ref="J43:J46" si="29">J42</f>
        <v>0</v>
      </c>
      <c r="K43" s="173">
        <f t="shared" si="21"/>
        <v>33.838484909127288</v>
      </c>
      <c r="L43" s="174">
        <f t="shared" si="22"/>
        <v>78.956464787963668</v>
      </c>
      <c r="M43" s="175">
        <f t="shared" si="23"/>
        <v>0</v>
      </c>
      <c r="N43" s="176">
        <f t="shared" si="10"/>
        <v>59999.999999999993</v>
      </c>
      <c r="O43" s="177">
        <f t="shared" si="11"/>
        <v>139999.99999999997</v>
      </c>
      <c r="P43" s="177">
        <f t="shared" si="24"/>
        <v>0</v>
      </c>
      <c r="Q43" s="257">
        <v>0.3</v>
      </c>
      <c r="R43" s="268">
        <f t="shared" ref="R43:R46" si="30">(+Q43-1)*-1</f>
        <v>0.7</v>
      </c>
      <c r="S43" s="176">
        <f t="shared" si="25"/>
        <v>60000</v>
      </c>
      <c r="T43" s="179">
        <f t="shared" si="26"/>
        <v>140000</v>
      </c>
      <c r="U43" s="91"/>
      <c r="V43" s="91"/>
      <c r="W43" s="147"/>
      <c r="X43" s="127">
        <f t="shared" ref="X43:Y46" si="31">N43</f>
        <v>59999.999999999993</v>
      </c>
      <c r="Y43" s="280">
        <f t="shared" si="16"/>
        <v>139999.99999999997</v>
      </c>
      <c r="Z43" s="151">
        <v>0</v>
      </c>
      <c r="AA43" s="149"/>
      <c r="AB43" s="215">
        <f t="shared" si="1"/>
        <v>169999.99999999997</v>
      </c>
      <c r="AC43" s="182">
        <f>AB43-'VMT Build'!AB40</f>
        <v>21499.999999999971</v>
      </c>
      <c r="AD43" s="181">
        <f>(W43/$D$5)*'Berth Time'!$F$11+(X43/$D$5)*'Berth Time'!$E$11+'Berth Time'!$H$11*('VMT No Build'!Y43/$D$5)+('VMT No Build'!Z43/$D$5)*'Berth Time'!$G$11+(AA43/$D$5)*'Berth Time'!$I$11</f>
        <v>2833.3333333333326</v>
      </c>
      <c r="AE43" s="182">
        <f>AD43-'VMT Build'!AD40</f>
        <v>1259.9999999999993</v>
      </c>
      <c r="AF43" s="91"/>
      <c r="AG43" s="180">
        <f>X43-'VMT Build'!X40</f>
        <v>14999.999999999993</v>
      </c>
    </row>
    <row r="44" spans="1:33" ht="15.75" thickBot="1" x14ac:dyDescent="0.3">
      <c r="A44" s="17">
        <f t="shared" ref="A44:B44" si="32">1+A43</f>
        <v>2049</v>
      </c>
      <c r="B44" s="17">
        <f t="shared" si="32"/>
        <v>32</v>
      </c>
      <c r="C44" s="165">
        <v>200000</v>
      </c>
      <c r="D44" s="166"/>
      <c r="E44" s="167"/>
      <c r="F44" s="168">
        <f>SUM(C44:E44)</f>
        <v>200000</v>
      </c>
      <c r="G44" s="169">
        <f>+F44/$D$3</f>
        <v>112.79494969709097</v>
      </c>
      <c r="H44" s="257">
        <v>0.3</v>
      </c>
      <c r="I44" s="258">
        <f t="shared" si="28"/>
        <v>0.7</v>
      </c>
      <c r="J44" s="172">
        <f t="shared" si="29"/>
        <v>0</v>
      </c>
      <c r="K44" s="173">
        <f t="shared" si="21"/>
        <v>33.838484909127288</v>
      </c>
      <c r="L44" s="174">
        <f t="shared" si="22"/>
        <v>78.956464787963668</v>
      </c>
      <c r="M44" s="175">
        <f t="shared" si="23"/>
        <v>0</v>
      </c>
      <c r="N44" s="176">
        <f t="shared" si="10"/>
        <v>59999.999999999993</v>
      </c>
      <c r="O44" s="177">
        <f t="shared" si="11"/>
        <v>139999.99999999997</v>
      </c>
      <c r="P44" s="177">
        <f t="shared" si="24"/>
        <v>0</v>
      </c>
      <c r="Q44" s="257">
        <v>0.3</v>
      </c>
      <c r="R44" s="268">
        <f t="shared" si="30"/>
        <v>0.7</v>
      </c>
      <c r="S44" s="176">
        <f t="shared" si="25"/>
        <v>60000</v>
      </c>
      <c r="T44" s="179">
        <f t="shared" si="26"/>
        <v>140000</v>
      </c>
      <c r="U44" s="91"/>
      <c r="V44" s="91"/>
      <c r="W44" s="147"/>
      <c r="X44" s="127">
        <f t="shared" si="31"/>
        <v>59999.999999999993</v>
      </c>
      <c r="Y44" s="280">
        <f t="shared" si="31"/>
        <v>139999.99999999997</v>
      </c>
      <c r="Z44" s="151">
        <v>0</v>
      </c>
      <c r="AA44" s="149"/>
      <c r="AB44" s="215">
        <f t="shared" si="1"/>
        <v>169999.99999999997</v>
      </c>
      <c r="AC44" s="182">
        <f>AB44-'VMT Build'!AB41</f>
        <v>21499.999999999971</v>
      </c>
      <c r="AD44" s="181">
        <f>(W44/$D$5)*'Berth Time'!$F$11+(X44/$D$5)*'Berth Time'!$E$11+'Berth Time'!$H$11*('VMT No Build'!Y44/$D$5)+('VMT No Build'!Z44/$D$5)*'Berth Time'!$G$11+(AA44/$D$5)*'Berth Time'!$I$11</f>
        <v>2833.3333333333326</v>
      </c>
      <c r="AE44" s="182">
        <f>AD44-'VMT Build'!AD41</f>
        <v>1259.9999999999993</v>
      </c>
      <c r="AF44" s="91"/>
      <c r="AG44" s="180">
        <f>X44-'VMT Build'!X41</f>
        <v>14999.999999999993</v>
      </c>
    </row>
    <row r="45" spans="1:33" ht="15.75" thickBot="1" x14ac:dyDescent="0.3">
      <c r="A45" s="17">
        <f t="shared" ref="A45:B45" si="33">1+A44</f>
        <v>2050</v>
      </c>
      <c r="B45" s="17">
        <f t="shared" si="33"/>
        <v>33</v>
      </c>
      <c r="C45" s="165">
        <v>200000</v>
      </c>
      <c r="D45" s="166"/>
      <c r="E45" s="167"/>
      <c r="F45" s="168">
        <f>SUM(C45:E45)</f>
        <v>200000</v>
      </c>
      <c r="G45" s="169">
        <f>+F45/$D$3</f>
        <v>112.79494969709097</v>
      </c>
      <c r="H45" s="257">
        <v>0.3</v>
      </c>
      <c r="I45" s="258">
        <f t="shared" si="28"/>
        <v>0.7</v>
      </c>
      <c r="J45" s="172">
        <f t="shared" si="29"/>
        <v>0</v>
      </c>
      <c r="K45" s="173">
        <f t="shared" si="21"/>
        <v>33.838484909127288</v>
      </c>
      <c r="L45" s="174">
        <f t="shared" si="22"/>
        <v>78.956464787963668</v>
      </c>
      <c r="M45" s="175">
        <f t="shared" si="23"/>
        <v>0</v>
      </c>
      <c r="N45" s="176">
        <f t="shared" si="10"/>
        <v>59999.999999999993</v>
      </c>
      <c r="O45" s="177">
        <f t="shared" si="11"/>
        <v>139999.99999999997</v>
      </c>
      <c r="P45" s="177">
        <f t="shared" si="24"/>
        <v>0</v>
      </c>
      <c r="Q45" s="257">
        <v>0.3</v>
      </c>
      <c r="R45" s="268">
        <f t="shared" si="30"/>
        <v>0.7</v>
      </c>
      <c r="S45" s="176">
        <f t="shared" si="25"/>
        <v>60000</v>
      </c>
      <c r="T45" s="179">
        <f t="shared" si="26"/>
        <v>140000</v>
      </c>
      <c r="U45" s="91"/>
      <c r="V45" s="91"/>
      <c r="W45" s="147"/>
      <c r="X45" s="127">
        <f t="shared" si="31"/>
        <v>59999.999999999993</v>
      </c>
      <c r="Y45" s="280">
        <f t="shared" si="31"/>
        <v>139999.99999999997</v>
      </c>
      <c r="Z45" s="151">
        <v>0</v>
      </c>
      <c r="AA45" s="149"/>
      <c r="AB45" s="215">
        <f t="shared" si="1"/>
        <v>169999.99999999997</v>
      </c>
      <c r="AC45" s="182">
        <f>AB45-'VMT Build'!AB42</f>
        <v>21499.999999999971</v>
      </c>
      <c r="AD45" s="181">
        <f>(W45/$D$5)*'Berth Time'!$F$11+(X45/$D$5)*'Berth Time'!$E$11+'Berth Time'!$H$11*('VMT No Build'!Y45/$D$5)+('VMT No Build'!Z45/$D$5)*'Berth Time'!$G$11+(AA45/$D$5)*'Berth Time'!$I$11</f>
        <v>2833.3333333333326</v>
      </c>
      <c r="AE45" s="182">
        <f>AD45-'VMT Build'!AD42</f>
        <v>1259.9999999999993</v>
      </c>
      <c r="AF45" s="91"/>
      <c r="AG45" s="180">
        <f>X45-'VMT Build'!X42</f>
        <v>14999.999999999993</v>
      </c>
    </row>
    <row r="46" spans="1:33" ht="15.75" thickBot="1" x14ac:dyDescent="0.3">
      <c r="A46" s="17">
        <f t="shared" ref="A46:B46" si="34">1+A45</f>
        <v>2051</v>
      </c>
      <c r="B46" s="17">
        <f t="shared" si="34"/>
        <v>34</v>
      </c>
      <c r="C46" s="165">
        <v>200000</v>
      </c>
      <c r="D46" s="166"/>
      <c r="E46" s="167"/>
      <c r="F46" s="168">
        <f>SUM(C46:E46)</f>
        <v>200000</v>
      </c>
      <c r="G46" s="169">
        <f>+F46/$D$3</f>
        <v>112.79494969709097</v>
      </c>
      <c r="H46" s="257">
        <v>0.3</v>
      </c>
      <c r="I46" s="258">
        <f t="shared" si="28"/>
        <v>0.7</v>
      </c>
      <c r="J46" s="172">
        <f t="shared" si="29"/>
        <v>0</v>
      </c>
      <c r="K46" s="173">
        <f t="shared" si="21"/>
        <v>33.838484909127288</v>
      </c>
      <c r="L46" s="174">
        <f t="shared" si="22"/>
        <v>78.956464787963668</v>
      </c>
      <c r="M46" s="175">
        <f t="shared" si="23"/>
        <v>0</v>
      </c>
      <c r="N46" s="176">
        <f t="shared" si="10"/>
        <v>59999.999999999993</v>
      </c>
      <c r="O46" s="177">
        <f t="shared" si="11"/>
        <v>139999.99999999997</v>
      </c>
      <c r="P46" s="177">
        <f t="shared" si="24"/>
        <v>0</v>
      </c>
      <c r="Q46" s="257">
        <v>0.3</v>
      </c>
      <c r="R46" s="268">
        <f t="shared" si="30"/>
        <v>0.7</v>
      </c>
      <c r="S46" s="176">
        <f t="shared" si="25"/>
        <v>60000</v>
      </c>
      <c r="T46" s="179">
        <f t="shared" si="26"/>
        <v>140000</v>
      </c>
      <c r="U46" s="91"/>
      <c r="V46" s="91"/>
      <c r="W46" s="147"/>
      <c r="X46" s="127">
        <f t="shared" si="31"/>
        <v>59999.999999999993</v>
      </c>
      <c r="Y46" s="280">
        <f t="shared" si="31"/>
        <v>139999.99999999997</v>
      </c>
      <c r="Z46" s="151">
        <v>0</v>
      </c>
      <c r="AA46" s="149"/>
      <c r="AB46" s="215">
        <f t="shared" si="1"/>
        <v>169999.99999999997</v>
      </c>
      <c r="AC46" s="182">
        <f>AB46-'VMT Build'!AB43</f>
        <v>21499.999999999971</v>
      </c>
      <c r="AD46" s="181">
        <f>(W46/$D$5)*'Berth Time'!$F$11+(X46/$D$5)*'Berth Time'!$E$11+'Berth Time'!$H$11*('VMT No Build'!Y46/$D$5)+('VMT No Build'!Z46/$D$5)*'Berth Time'!$G$11+(AA46/$D$5)*'Berth Time'!$I$11</f>
        <v>2833.3333333333326</v>
      </c>
      <c r="AE46" s="182">
        <f>AD46-'VMT Build'!AD43</f>
        <v>1259.9999999999993</v>
      </c>
      <c r="AF46" s="91"/>
      <c r="AG46" s="180">
        <f>X46-'VMT Build'!X43</f>
        <v>14999.999999999993</v>
      </c>
    </row>
  </sheetData>
  <mergeCells count="10">
    <mergeCell ref="Y10:Z10"/>
    <mergeCell ref="W8:X8"/>
    <mergeCell ref="Y8:Z8"/>
    <mergeCell ref="S10:T10"/>
    <mergeCell ref="W10:X10"/>
    <mergeCell ref="D10:E10"/>
    <mergeCell ref="H10:J10"/>
    <mergeCell ref="K10:M10"/>
    <mergeCell ref="N10:P10"/>
    <mergeCell ref="Q10:R10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opLeftCell="I28" workbookViewId="0">
      <selection activeCell="Z16" sqref="Z16"/>
    </sheetView>
  </sheetViews>
  <sheetFormatPr defaultRowHeight="15" x14ac:dyDescent="0.25"/>
  <cols>
    <col min="24" max="24" width="11.140625" bestFit="1" customWidth="1"/>
    <col min="25" max="25" width="13.5703125" bestFit="1" customWidth="1"/>
    <col min="26" max="26" width="10.140625" bestFit="1" customWidth="1"/>
    <col min="27" max="27" width="11.140625" bestFit="1" customWidth="1"/>
    <col min="28" max="28" width="12.85546875" customWidth="1"/>
    <col min="34" max="34" width="10.140625" bestFit="1" customWidth="1"/>
  </cols>
  <sheetData>
    <row r="1" spans="1:35" x14ac:dyDescent="0.25">
      <c r="A1" s="369" t="s">
        <v>234</v>
      </c>
      <c r="B1" s="369"/>
      <c r="C1" s="369"/>
      <c r="D1" s="30">
        <v>0.02</v>
      </c>
      <c r="F1" t="s">
        <v>243</v>
      </c>
      <c r="G1" s="91"/>
      <c r="H1">
        <v>45000</v>
      </c>
      <c r="T1" t="s">
        <v>108</v>
      </c>
      <c r="X1" s="86" t="s">
        <v>109</v>
      </c>
      <c r="Z1" s="90">
        <v>1.8</v>
      </c>
    </row>
    <row r="2" spans="1:35" ht="15.75" thickBot="1" x14ac:dyDescent="0.3">
      <c r="A2" s="369" t="s">
        <v>235</v>
      </c>
      <c r="B2" s="369"/>
      <c r="C2" s="369"/>
      <c r="D2" s="30">
        <v>0.05</v>
      </c>
      <c r="G2" s="48"/>
      <c r="H2" s="87"/>
      <c r="I2" s="89"/>
      <c r="T2" s="86" t="s">
        <v>110</v>
      </c>
      <c r="U2" s="24">
        <v>0.65</v>
      </c>
      <c r="V2" s="24"/>
      <c r="X2" s="86" t="s">
        <v>111</v>
      </c>
      <c r="Z2" s="90">
        <v>0.5</v>
      </c>
    </row>
    <row r="3" spans="1:35" ht="15.75" thickBot="1" x14ac:dyDescent="0.3">
      <c r="A3" s="219" t="s">
        <v>236</v>
      </c>
      <c r="B3" s="219"/>
      <c r="C3" s="219"/>
      <c r="D3" s="260">
        <v>0.14499999999999999</v>
      </c>
      <c r="F3" s="48" t="s">
        <v>242</v>
      </c>
      <c r="G3" s="48"/>
      <c r="H3" s="87"/>
      <c r="I3" s="48" t="s">
        <v>105</v>
      </c>
      <c r="J3" s="87"/>
      <c r="K3" s="88">
        <f>+C9/G9</f>
        <v>1773.1290322580646</v>
      </c>
      <c r="T3" s="86">
        <v>98</v>
      </c>
      <c r="U3" s="24">
        <v>0.35</v>
      </c>
      <c r="V3" s="24"/>
      <c r="X3" s="86" t="s">
        <v>112</v>
      </c>
      <c r="Z3" s="90">
        <v>1</v>
      </c>
    </row>
    <row r="4" spans="1:35" x14ac:dyDescent="0.25">
      <c r="A4" s="369" t="s">
        <v>237</v>
      </c>
      <c r="B4" s="369"/>
      <c r="C4" s="369"/>
      <c r="D4">
        <v>500000</v>
      </c>
      <c r="F4" s="48">
        <f>E17/E16</f>
        <v>1.45</v>
      </c>
      <c r="G4" s="48"/>
      <c r="H4" s="87"/>
      <c r="I4" s="89"/>
      <c r="X4" s="86" t="s">
        <v>113</v>
      </c>
      <c r="Z4" s="90">
        <v>1.2</v>
      </c>
    </row>
    <row r="5" spans="1:35" x14ac:dyDescent="0.25">
      <c r="A5" s="369" t="s">
        <v>238</v>
      </c>
      <c r="B5" s="369"/>
      <c r="C5" s="369"/>
      <c r="D5" s="220">
        <f>+F9/G9</f>
        <v>1773.1290322580646</v>
      </c>
      <c r="F5" s="48"/>
      <c r="G5" s="87"/>
      <c r="H5" s="89"/>
      <c r="X5" s="86" t="s">
        <v>114</v>
      </c>
      <c r="Z5" s="90">
        <v>1.8</v>
      </c>
    </row>
    <row r="6" spans="1:35" ht="15.75" thickBot="1" x14ac:dyDescent="0.3">
      <c r="A6" s="219" t="s">
        <v>239</v>
      </c>
      <c r="B6" s="86"/>
      <c r="D6" s="221">
        <v>2500</v>
      </c>
      <c r="F6" s="48"/>
      <c r="G6" s="87"/>
      <c r="H6" s="89"/>
      <c r="X6" s="86" t="s">
        <v>115</v>
      </c>
      <c r="Z6" s="90">
        <v>0</v>
      </c>
    </row>
    <row r="7" spans="1:35" ht="15.75" thickBot="1" x14ac:dyDescent="0.3">
      <c r="A7" s="93" t="s">
        <v>117</v>
      </c>
      <c r="B7" s="93"/>
      <c r="C7" s="94" t="s">
        <v>117</v>
      </c>
      <c r="D7" s="360" t="s">
        <v>118</v>
      </c>
      <c r="E7" s="361"/>
      <c r="F7" s="95"/>
      <c r="G7" s="96" t="s">
        <v>117</v>
      </c>
      <c r="H7" s="360" t="s">
        <v>119</v>
      </c>
      <c r="I7" s="361"/>
      <c r="J7" s="362"/>
      <c r="K7" s="363" t="s">
        <v>120</v>
      </c>
      <c r="L7" s="364"/>
      <c r="M7" s="365"/>
      <c r="N7" s="363" t="s">
        <v>121</v>
      </c>
      <c r="O7" s="364"/>
      <c r="P7" s="364"/>
      <c r="Q7" s="363" t="s">
        <v>122</v>
      </c>
      <c r="R7" s="365"/>
      <c r="S7" s="363" t="s">
        <v>123</v>
      </c>
      <c r="T7" s="365"/>
      <c r="W7" s="366" t="s">
        <v>124</v>
      </c>
      <c r="X7" s="367"/>
      <c r="Y7" s="366" t="s">
        <v>125</v>
      </c>
      <c r="Z7" s="367"/>
      <c r="AA7" s="97"/>
    </row>
    <row r="8" spans="1:35" ht="45" x14ac:dyDescent="0.25">
      <c r="A8" s="93" t="s">
        <v>127</v>
      </c>
      <c r="B8" s="93" t="s">
        <v>128</v>
      </c>
      <c r="C8" s="93" t="s">
        <v>129</v>
      </c>
      <c r="D8" s="98" t="s">
        <v>240</v>
      </c>
      <c r="E8" s="99" t="s">
        <v>241</v>
      </c>
      <c r="F8" s="100" t="s">
        <v>132</v>
      </c>
      <c r="G8" s="101" t="s">
        <v>120</v>
      </c>
      <c r="H8" s="98" t="s">
        <v>133</v>
      </c>
      <c r="I8" s="102" t="s">
        <v>134</v>
      </c>
      <c r="J8" s="103" t="s">
        <v>135</v>
      </c>
      <c r="K8" s="98" t="s">
        <v>133</v>
      </c>
      <c r="L8" s="102" t="s">
        <v>134</v>
      </c>
      <c r="M8" s="103" t="s">
        <v>135</v>
      </c>
      <c r="N8" s="98" t="s">
        <v>133</v>
      </c>
      <c r="O8" s="102" t="s">
        <v>134</v>
      </c>
      <c r="P8" s="102" t="s">
        <v>135</v>
      </c>
      <c r="Q8" s="104" t="s">
        <v>136</v>
      </c>
      <c r="R8" s="105" t="s">
        <v>137</v>
      </c>
      <c r="S8" s="104" t="s">
        <v>136</v>
      </c>
      <c r="T8" s="105" t="s">
        <v>137</v>
      </c>
      <c r="V8" s="270" t="s">
        <v>127</v>
      </c>
      <c r="W8" s="106" t="s">
        <v>109</v>
      </c>
      <c r="X8" s="107" t="s">
        <v>111</v>
      </c>
      <c r="Y8" s="106" t="s">
        <v>112</v>
      </c>
      <c r="Z8" s="107" t="s">
        <v>113</v>
      </c>
      <c r="AA8" s="108" t="s">
        <v>115</v>
      </c>
      <c r="AB8" s="92" t="s">
        <v>40</v>
      </c>
      <c r="AC8" s="92" t="s">
        <v>138</v>
      </c>
      <c r="AD8" s="92" t="s">
        <v>139</v>
      </c>
      <c r="AF8" s="92" t="s">
        <v>140</v>
      </c>
      <c r="AG8" s="92" t="s">
        <v>133</v>
      </c>
    </row>
    <row r="9" spans="1:35" x14ac:dyDescent="0.25">
      <c r="A9" s="222">
        <v>2017</v>
      </c>
      <c r="B9" s="223">
        <v>0</v>
      </c>
      <c r="C9" s="224">
        <v>164901</v>
      </c>
      <c r="D9" s="112"/>
      <c r="E9" s="110"/>
      <c r="F9" s="113">
        <f t="shared" ref="F9:F39" si="0">SUM(C9:E9)</f>
        <v>164901</v>
      </c>
      <c r="G9" s="114">
        <f>+K9+L9</f>
        <v>93</v>
      </c>
      <c r="H9" s="115">
        <v>0.75268817204301075</v>
      </c>
      <c r="I9" s="116">
        <v>0.24731182795698925</v>
      </c>
      <c r="J9" s="117">
        <v>0</v>
      </c>
      <c r="K9" s="118">
        <v>70</v>
      </c>
      <c r="L9" s="119">
        <v>23</v>
      </c>
      <c r="M9" s="120"/>
      <c r="N9" s="121">
        <f>+K9*K3</f>
        <v>124119.03225806453</v>
      </c>
      <c r="O9" s="122">
        <f>+L9*K3</f>
        <v>40781.967741935485</v>
      </c>
      <c r="P9" s="119"/>
      <c r="Q9" s="123">
        <v>1</v>
      </c>
      <c r="R9" s="124">
        <f>1-Q9</f>
        <v>0</v>
      </c>
      <c r="S9" s="125">
        <f>+F9</f>
        <v>164901</v>
      </c>
      <c r="T9" s="126">
        <v>0</v>
      </c>
      <c r="U9" s="48"/>
      <c r="V9" s="271">
        <v>2017</v>
      </c>
      <c r="W9" s="207"/>
      <c r="X9" s="208"/>
      <c r="Y9" s="128"/>
      <c r="Z9" s="208"/>
      <c r="AA9" s="209">
        <f>F9*J9*R9</f>
        <v>0</v>
      </c>
      <c r="AB9" s="72">
        <f>(W9*$Z$1)+(X9*$Z$2)+(Y9*$Z$3)+(Z9*$Z$4)+(AA9*$Z$6)</f>
        <v>0</v>
      </c>
      <c r="AC9" s="48"/>
      <c r="AD9" s="185"/>
      <c r="AE9" s="48"/>
      <c r="AF9" s="48"/>
      <c r="AG9" s="48"/>
      <c r="AI9" s="29"/>
    </row>
    <row r="10" spans="1:35" x14ac:dyDescent="0.25">
      <c r="A10" s="225">
        <f>1+A9</f>
        <v>2018</v>
      </c>
      <c r="B10" s="226">
        <v>1</v>
      </c>
      <c r="C10" s="227">
        <v>141999</v>
      </c>
      <c r="D10" s="133"/>
      <c r="E10" s="132"/>
      <c r="F10" s="134">
        <f t="shared" si="0"/>
        <v>141999</v>
      </c>
      <c r="G10" s="135">
        <v>82</v>
      </c>
      <c r="H10" s="136">
        <v>0.40243902439024393</v>
      </c>
      <c r="I10" s="137">
        <v>0.6</v>
      </c>
      <c r="J10" s="138">
        <v>0</v>
      </c>
      <c r="K10" s="139">
        <f>$G10*H10</f>
        <v>33</v>
      </c>
      <c r="L10" s="140">
        <f t="shared" ref="L10:M10" si="1">$G10*I10</f>
        <v>49.199999999999996</v>
      </c>
      <c r="M10" s="141">
        <f t="shared" si="1"/>
        <v>0</v>
      </c>
      <c r="N10" s="142">
        <v>61255</v>
      </c>
      <c r="O10" s="143">
        <v>80744</v>
      </c>
      <c r="P10" s="143">
        <f>+F10-N10-O10</f>
        <v>0</v>
      </c>
      <c r="Q10" s="144">
        <v>0.8</v>
      </c>
      <c r="R10" s="145">
        <v>0.2</v>
      </c>
      <c r="S10" s="142">
        <f>+Q10*F10</f>
        <v>113599.20000000001</v>
      </c>
      <c r="T10" s="146">
        <f>+F10-S10</f>
        <v>28399.799999999988</v>
      </c>
      <c r="U10" s="91"/>
      <c r="V10" s="272">
        <v>2018</v>
      </c>
      <c r="W10" s="207"/>
      <c r="X10" s="208"/>
      <c r="Y10" s="212"/>
      <c r="Z10" s="208"/>
      <c r="AA10" s="210">
        <f>F10*J10*R10</f>
        <v>0</v>
      </c>
      <c r="AB10" s="72">
        <f t="shared" ref="AB10:AB43" si="2">(W10*$Z$1)+(X10*$Z$2)+(Y10*$Z$3)+(Z10*$Z$4)+(AA10*$Z$6)</f>
        <v>0</v>
      </c>
      <c r="AC10" s="91"/>
      <c r="AD10" s="185"/>
      <c r="AE10" s="48"/>
      <c r="AF10" s="91"/>
      <c r="AG10" s="91"/>
      <c r="AI10" s="29"/>
    </row>
    <row r="11" spans="1:35" x14ac:dyDescent="0.25">
      <c r="A11" s="228">
        <f t="shared" ref="A11:B26" si="3">1+A10</f>
        <v>2019</v>
      </c>
      <c r="B11" s="229">
        <f>1+B10</f>
        <v>2</v>
      </c>
      <c r="C11" s="230">
        <f>IF(ISBLANK($D$4)=TRUE,+C10*(1+$D$2),IF(+C10*(1+$D$2)&gt;=$D$4,$D$4,+C10*(1+$D$2)))</f>
        <v>149098.95000000001</v>
      </c>
      <c r="D11" s="133"/>
      <c r="E11" s="132"/>
      <c r="F11" s="134">
        <f t="shared" si="0"/>
        <v>149098.95000000001</v>
      </c>
      <c r="G11" s="135">
        <f>+F11/$K$3</f>
        <v>84.088042825695425</v>
      </c>
      <c r="H11" s="248">
        <v>0.45</v>
      </c>
      <c r="I11" s="249">
        <f t="shared" ref="I11" si="4">(+H11-1)*-1</f>
        <v>0.55000000000000004</v>
      </c>
      <c r="J11" s="250">
        <f t="shared" ref="J11:J39" si="5">100%-H11-I11</f>
        <v>0</v>
      </c>
      <c r="K11" s="139">
        <f t="shared" ref="K11" si="6">$G11*H11</f>
        <v>37.839619271562945</v>
      </c>
      <c r="L11" s="140">
        <f t="shared" ref="L11" si="7">$G11*I11</f>
        <v>46.248423554132486</v>
      </c>
      <c r="M11" s="141">
        <f t="shared" ref="M11" si="8">$G11*J11</f>
        <v>0</v>
      </c>
      <c r="N11" s="142">
        <f t="shared" ref="N11:O15" si="9">+K11*$K$3</f>
        <v>67094.527500000011</v>
      </c>
      <c r="O11" s="143">
        <f t="shared" si="9"/>
        <v>82004.422500000015</v>
      </c>
      <c r="P11" s="143">
        <f t="shared" ref="P11:P39" si="10">+F11-N11-O11</f>
        <v>0</v>
      </c>
      <c r="Q11" s="248">
        <v>0.45</v>
      </c>
      <c r="R11" s="265">
        <f t="shared" ref="R11:R39" si="11">(+Q11-1)*-1</f>
        <v>0.55000000000000004</v>
      </c>
      <c r="S11" s="142">
        <f t="shared" ref="S11:S38" si="12">+Q11*F11</f>
        <v>67094.527500000011</v>
      </c>
      <c r="T11" s="146">
        <f t="shared" ref="T11:T38" si="13">+F11-S11</f>
        <v>82004.422500000001</v>
      </c>
      <c r="U11" s="91"/>
      <c r="V11" s="271">
        <v>2019</v>
      </c>
      <c r="W11" s="278"/>
      <c r="X11" s="127">
        <f t="shared" ref="X11:X15" si="14">N11</f>
        <v>67094.527500000011</v>
      </c>
      <c r="Y11" s="212">
        <f>O11</f>
        <v>82004.422500000015</v>
      </c>
      <c r="Z11" s="148"/>
      <c r="AA11" s="285"/>
      <c r="AB11" s="72">
        <f t="shared" si="2"/>
        <v>115551.68625000003</v>
      </c>
      <c r="AC11" s="91"/>
      <c r="AD11" s="185"/>
      <c r="AE11" s="48"/>
      <c r="AF11" s="91"/>
      <c r="AG11" s="91"/>
      <c r="AI11" s="29"/>
    </row>
    <row r="12" spans="1:35" x14ac:dyDescent="0.25">
      <c r="A12" s="231">
        <f t="shared" si="3"/>
        <v>2020</v>
      </c>
      <c r="B12" s="232">
        <v>3</v>
      </c>
      <c r="C12" s="233">
        <f>C11+H1</f>
        <v>194098.95</v>
      </c>
      <c r="D12" s="155"/>
      <c r="E12" s="156"/>
      <c r="F12" s="154">
        <f t="shared" si="0"/>
        <v>194098.95</v>
      </c>
      <c r="G12" s="246">
        <f t="shared" ref="G12" si="15">+F12/$D$5</f>
        <v>109.46690650754088</v>
      </c>
      <c r="H12" s="251">
        <v>0.45</v>
      </c>
      <c r="I12" s="252">
        <f>(+H12-1)*-1</f>
        <v>0.55000000000000004</v>
      </c>
      <c r="J12" s="253">
        <f t="shared" si="5"/>
        <v>0</v>
      </c>
      <c r="K12" s="139">
        <f t="shared" ref="K12:K13" si="16">$G12*H12</f>
        <v>49.260107928393396</v>
      </c>
      <c r="L12" s="139">
        <f t="shared" ref="L12:L13" si="17">$G12*I12</f>
        <v>60.206798579147488</v>
      </c>
      <c r="M12" s="157">
        <f t="shared" ref="M12:M13" si="18">$G12*J12</f>
        <v>0</v>
      </c>
      <c r="N12" s="161">
        <f t="shared" si="9"/>
        <v>87344.527499999997</v>
      </c>
      <c r="O12" s="162">
        <f t="shared" si="9"/>
        <v>106754.4225</v>
      </c>
      <c r="P12" s="162">
        <f t="shared" si="10"/>
        <v>0</v>
      </c>
      <c r="Q12" s="251">
        <v>0.45</v>
      </c>
      <c r="R12" s="266">
        <f t="shared" si="11"/>
        <v>0.55000000000000004</v>
      </c>
      <c r="S12" s="161">
        <f t="shared" si="12"/>
        <v>87344.527500000011</v>
      </c>
      <c r="T12" s="163">
        <f t="shared" si="13"/>
        <v>106754.4225</v>
      </c>
      <c r="U12" s="91"/>
      <c r="V12" s="273">
        <v>2020</v>
      </c>
      <c r="W12" s="279"/>
      <c r="X12" s="280">
        <f t="shared" si="14"/>
        <v>87344.527499999997</v>
      </c>
      <c r="Y12" s="212">
        <f t="shared" ref="Y12:Y15" si="19">O12</f>
        <v>106754.4225</v>
      </c>
      <c r="Z12" s="286"/>
      <c r="AA12" s="287"/>
      <c r="AB12" s="72">
        <f t="shared" si="2"/>
        <v>150426.68625</v>
      </c>
      <c r="AC12" s="91"/>
      <c r="AD12" s="185"/>
      <c r="AE12" s="48"/>
      <c r="AF12" s="91"/>
      <c r="AG12" s="91"/>
      <c r="AI12" s="29"/>
    </row>
    <row r="13" spans="1:35" ht="14.1" customHeight="1" x14ac:dyDescent="0.25">
      <c r="A13" s="231">
        <f t="shared" ref="A13" si="20">1+A12</f>
        <v>2021</v>
      </c>
      <c r="B13" s="234">
        <v>4</v>
      </c>
      <c r="C13" s="235">
        <v>200000</v>
      </c>
      <c r="D13" s="166"/>
      <c r="E13" s="167"/>
      <c r="F13" s="168">
        <f t="shared" si="0"/>
        <v>200000</v>
      </c>
      <c r="G13" s="169">
        <f>+F13/$K$3</f>
        <v>112.79494969709097</v>
      </c>
      <c r="H13" s="170">
        <v>0.45</v>
      </c>
      <c r="I13" s="171">
        <f>(+H13-1)*-1</f>
        <v>0.55000000000000004</v>
      </c>
      <c r="J13" s="172">
        <f t="shared" si="5"/>
        <v>0</v>
      </c>
      <c r="K13" s="173">
        <f t="shared" si="16"/>
        <v>50.75772736369094</v>
      </c>
      <c r="L13" s="174">
        <f t="shared" si="17"/>
        <v>62.037222333400038</v>
      </c>
      <c r="M13" s="175">
        <f t="shared" si="18"/>
        <v>0</v>
      </c>
      <c r="N13" s="176">
        <f t="shared" si="9"/>
        <v>90000</v>
      </c>
      <c r="O13" s="177">
        <f t="shared" si="9"/>
        <v>110000</v>
      </c>
      <c r="P13" s="177">
        <f t="shared" si="10"/>
        <v>0</v>
      </c>
      <c r="Q13" s="170">
        <v>0.45</v>
      </c>
      <c r="R13" s="178">
        <f t="shared" si="11"/>
        <v>0.55000000000000004</v>
      </c>
      <c r="S13" s="176">
        <f t="shared" si="12"/>
        <v>90000</v>
      </c>
      <c r="T13" s="179">
        <f t="shared" si="13"/>
        <v>110000</v>
      </c>
      <c r="U13" s="180"/>
      <c r="V13" s="271">
        <v>2021</v>
      </c>
      <c r="W13" s="281"/>
      <c r="X13" s="127">
        <f t="shared" si="14"/>
        <v>90000</v>
      </c>
      <c r="Y13" s="212">
        <f t="shared" si="19"/>
        <v>110000</v>
      </c>
      <c r="Z13" s="148"/>
      <c r="AA13" s="288"/>
      <c r="AB13" s="72">
        <f t="shared" si="2"/>
        <v>155000</v>
      </c>
      <c r="AC13" s="91"/>
      <c r="AD13" s="185"/>
      <c r="AE13" s="48"/>
      <c r="AF13" s="91"/>
      <c r="AG13" s="91"/>
      <c r="AI13" s="29"/>
    </row>
    <row r="14" spans="1:35" x14ac:dyDescent="0.25">
      <c r="A14" s="231">
        <f t="shared" ref="A14" si="21">1+A13</f>
        <v>2022</v>
      </c>
      <c r="B14" s="234">
        <v>5</v>
      </c>
      <c r="C14" s="235">
        <v>200000</v>
      </c>
      <c r="D14" s="166"/>
      <c r="E14" s="167"/>
      <c r="F14" s="168">
        <f t="shared" si="0"/>
        <v>200000</v>
      </c>
      <c r="G14" s="169">
        <f>+F14/$K$3</f>
        <v>112.79494969709097</v>
      </c>
      <c r="H14" s="170">
        <v>0.4</v>
      </c>
      <c r="I14" s="171">
        <f>(+H14-1)*-1</f>
        <v>0.6</v>
      </c>
      <c r="J14" s="172">
        <f t="shared" si="5"/>
        <v>0</v>
      </c>
      <c r="K14" s="173">
        <f t="shared" ref="K14:K39" si="22">$G14*H14</f>
        <v>45.117979878836394</v>
      </c>
      <c r="L14" s="174">
        <f t="shared" ref="L14:L39" si="23">$G14*I14</f>
        <v>67.676969818254577</v>
      </c>
      <c r="M14" s="175">
        <f t="shared" ref="M14:M39" si="24">$G14*J14</f>
        <v>0</v>
      </c>
      <c r="N14" s="176">
        <f t="shared" si="9"/>
        <v>80000</v>
      </c>
      <c r="O14" s="177">
        <f t="shared" si="9"/>
        <v>119999.99999999999</v>
      </c>
      <c r="P14" s="177">
        <f t="shared" si="10"/>
        <v>0</v>
      </c>
      <c r="Q14" s="170">
        <v>0.45</v>
      </c>
      <c r="R14" s="178">
        <f t="shared" si="11"/>
        <v>0.55000000000000004</v>
      </c>
      <c r="S14" s="176">
        <f t="shared" si="12"/>
        <v>90000</v>
      </c>
      <c r="T14" s="179">
        <f t="shared" si="13"/>
        <v>110000</v>
      </c>
      <c r="U14" s="91"/>
      <c r="V14" s="274">
        <v>2022</v>
      </c>
      <c r="W14" s="281"/>
      <c r="X14" s="127">
        <f t="shared" si="14"/>
        <v>80000</v>
      </c>
      <c r="Y14" s="212">
        <f t="shared" si="19"/>
        <v>119999.99999999999</v>
      </c>
      <c r="Z14" s="127"/>
      <c r="AA14" s="288"/>
      <c r="AB14" s="72">
        <f t="shared" si="2"/>
        <v>160000</v>
      </c>
      <c r="AC14" s="186">
        <f>(200000/$C$10)*(12*InpC!$D$5)*(AA14/SUM(W14:AA14))*Discounting!D13</f>
        <v>0</v>
      </c>
      <c r="AD14" s="181">
        <f>(((X14/$D$6)*'Berth Time'!$E$11+'Berth Time'!$H$11*('VMT Build'!Y14/$D$6)+('VMT Build'!Z14/$D$6)*'Berth Time'!$G$11+(AA14/$D$6)*'Berth Time'!$I$11))*(200000/F14)</f>
        <v>2666.6666666666661</v>
      </c>
      <c r="AE14" s="129">
        <f>X14/F14</f>
        <v>0.4</v>
      </c>
      <c r="AF14" s="187">
        <f>'VMT No Build'!L17-L14</f>
        <v>0</v>
      </c>
      <c r="AG14" s="187">
        <f>'VMT No Build'!K17-'VMT Build'!K14</f>
        <v>0</v>
      </c>
      <c r="AH14" s="31">
        <f>(Z14*Z4+AA14*Z6)*(200000/F14)</f>
        <v>0</v>
      </c>
      <c r="AI14" s="29"/>
    </row>
    <row r="15" spans="1:35" ht="15.75" thickBot="1" x14ac:dyDescent="0.3">
      <c r="A15" s="231">
        <f t="shared" ref="A15" si="25">1+A14</f>
        <v>2023</v>
      </c>
      <c r="B15" s="236">
        <v>6</v>
      </c>
      <c r="C15" s="237">
        <f t="shared" ref="C15:C23" si="26">IF(ISBLANK($D$4)=TRUE,+C14*(1+$D$2),IF(+C14*(1+$D$2)&gt;=$D$4,$D$4,+C14*(1+$D$2)))</f>
        <v>210000</v>
      </c>
      <c r="D15" s="166"/>
      <c r="E15" s="167"/>
      <c r="F15" s="168">
        <f t="shared" si="0"/>
        <v>210000</v>
      </c>
      <c r="G15" s="169">
        <f>+F15/$K$3</f>
        <v>118.43469718194552</v>
      </c>
      <c r="H15" s="254">
        <v>0.4</v>
      </c>
      <c r="I15" s="255">
        <f>(+H15-1)*-1</f>
        <v>0.6</v>
      </c>
      <c r="J15" s="256">
        <f t="shared" si="5"/>
        <v>0</v>
      </c>
      <c r="K15" s="173">
        <f t="shared" si="22"/>
        <v>47.373878872778214</v>
      </c>
      <c r="L15" s="174">
        <f t="shared" si="23"/>
        <v>71.060818309167317</v>
      </c>
      <c r="M15" s="175">
        <f t="shared" si="24"/>
        <v>0</v>
      </c>
      <c r="N15" s="176">
        <f t="shared" si="9"/>
        <v>84000.000000000015</v>
      </c>
      <c r="O15" s="177">
        <f t="shared" si="9"/>
        <v>126000</v>
      </c>
      <c r="P15" s="177">
        <f t="shared" si="10"/>
        <v>0</v>
      </c>
      <c r="Q15" s="254">
        <v>0.4</v>
      </c>
      <c r="R15" s="267">
        <f t="shared" si="11"/>
        <v>0.6</v>
      </c>
      <c r="S15" s="176">
        <f t="shared" si="12"/>
        <v>84000</v>
      </c>
      <c r="T15" s="179">
        <f t="shared" si="13"/>
        <v>126000</v>
      </c>
      <c r="U15" s="91"/>
      <c r="V15" s="275">
        <v>2023</v>
      </c>
      <c r="W15" s="282"/>
      <c r="X15" s="283">
        <f t="shared" si="14"/>
        <v>84000.000000000015</v>
      </c>
      <c r="Y15" s="212">
        <f t="shared" si="19"/>
        <v>126000</v>
      </c>
      <c r="Z15" s="283"/>
      <c r="AA15" s="289">
        <f>P15</f>
        <v>0</v>
      </c>
      <c r="AB15" s="72">
        <f t="shared" si="2"/>
        <v>168000</v>
      </c>
      <c r="AC15" s="186">
        <f>(200000/$C$10)*(12*InpC!$D$5)*(AA15/SUM(W15:AA15))*Discounting!D14</f>
        <v>0</v>
      </c>
      <c r="AD15" s="181">
        <f>(((X15/$D$6)*'Berth Time'!$E$11+'Berth Time'!$H$11*('VMT Build'!Y15/$D$6)+('VMT Build'!Z15/$D$6)*'Berth Time'!$G$11+(AA15/$D$6)*'Berth Time'!$I$11))*(200000/F15)</f>
        <v>2666.6666666666665</v>
      </c>
      <c r="AE15" s="48"/>
      <c r="AF15" s="187">
        <f>'VMT No Build'!L18-L15</f>
        <v>-3.3838484909127402</v>
      </c>
      <c r="AG15" s="187">
        <f>'VMT No Build'!K18-'VMT Build'!K15</f>
        <v>-2.2558989939418197</v>
      </c>
      <c r="AI15" s="29"/>
    </row>
    <row r="16" spans="1:35" x14ac:dyDescent="0.25">
      <c r="A16" s="231">
        <f t="shared" ref="A16" si="27">1+A15</f>
        <v>2024</v>
      </c>
      <c r="B16" s="239">
        <v>7</v>
      </c>
      <c r="C16" s="235">
        <f>IF(ISBLANK($D$4)=TRUE,+C15*(1+$D$2),IF(+C15*(1+$D$2)&gt;=$D$4,$D$4,+C15*(1+$D$2)))</f>
        <v>220500</v>
      </c>
      <c r="D16" s="242">
        <v>12000</v>
      </c>
      <c r="E16" s="243">
        <v>40000</v>
      </c>
      <c r="F16" s="168">
        <f t="shared" si="0"/>
        <v>272500</v>
      </c>
      <c r="G16" s="169">
        <f>+F16/$D$6</f>
        <v>109</v>
      </c>
      <c r="H16" s="171">
        <f>$E16/$F16*0.3</f>
        <v>4.4036697247706424E-2</v>
      </c>
      <c r="I16" s="171">
        <f>$E16/$F16*0.7</f>
        <v>0.10275229357798166</v>
      </c>
      <c r="J16" s="172">
        <f t="shared" si="5"/>
        <v>0.85321100917431192</v>
      </c>
      <c r="K16" s="173">
        <f t="shared" si="22"/>
        <v>4.8000000000000007</v>
      </c>
      <c r="L16" s="174">
        <f t="shared" si="23"/>
        <v>11.200000000000001</v>
      </c>
      <c r="M16" s="175">
        <f t="shared" si="24"/>
        <v>93</v>
      </c>
      <c r="N16" s="291">
        <f>F16*H16</f>
        <v>12000</v>
      </c>
      <c r="O16" s="261">
        <f>+L16*$D$6</f>
        <v>28000.000000000004</v>
      </c>
      <c r="P16" s="262">
        <f t="shared" si="10"/>
        <v>232500</v>
      </c>
      <c r="Q16" s="170">
        <f>E16/F16</f>
        <v>0.14678899082568808</v>
      </c>
      <c r="R16" s="178">
        <f t="shared" si="11"/>
        <v>0.85321100917431192</v>
      </c>
      <c r="S16" s="176">
        <f t="shared" si="12"/>
        <v>40000</v>
      </c>
      <c r="T16" s="179">
        <f t="shared" si="13"/>
        <v>232500</v>
      </c>
      <c r="U16" s="180"/>
      <c r="V16" s="274">
        <v>2024</v>
      </c>
      <c r="W16" s="278"/>
      <c r="X16" s="127">
        <f>S16*0.3</f>
        <v>12000</v>
      </c>
      <c r="Y16" s="128"/>
      <c r="Z16" s="127">
        <f>S16*0.7</f>
        <v>28000</v>
      </c>
      <c r="AA16" s="288">
        <f t="shared" ref="AA16:AA39" si="28">P16</f>
        <v>232500</v>
      </c>
      <c r="AB16" s="72">
        <f t="shared" si="2"/>
        <v>39600</v>
      </c>
      <c r="AC16" s="186">
        <f>(200000/$C$10)*(12*InpC!$D$5)*(AA16/SUM(W16:AA16))*Discounting!D15</f>
        <v>3605142.3284994056</v>
      </c>
      <c r="AD16" s="181">
        <f>(((X16/$D$6)*'Berth Time'!$E$11+'Berth Time'!$H$11*('VMT Build'!Y16/$D$6)+('VMT Build'!Z16/$D$6)*'Berth Time'!$G$11+(AA16/$D$6)*'Berth Time'!$I$11))*(200000/F16)</f>
        <v>1195.4128440366974</v>
      </c>
      <c r="AE16" s="48"/>
      <c r="AF16" s="187">
        <f>'VMT No Build'!L19-L16</f>
        <v>62.116717303109127</v>
      </c>
      <c r="AG16" s="187">
        <f>'VMT No Build'!K19-'VMT Build'!K16</f>
        <v>34.67823239398183</v>
      </c>
      <c r="AI16" s="29"/>
    </row>
    <row r="17" spans="1:35" x14ac:dyDescent="0.25">
      <c r="A17" s="231">
        <f t="shared" ref="A17" si="29">1+A16</f>
        <v>2025</v>
      </c>
      <c r="B17" s="239">
        <v>8</v>
      </c>
      <c r="C17" s="235">
        <f t="shared" si="26"/>
        <v>231525</v>
      </c>
      <c r="D17" s="242">
        <f>D16*F4</f>
        <v>17400</v>
      </c>
      <c r="E17" s="243">
        <v>58000</v>
      </c>
      <c r="F17" s="168">
        <f t="shared" si="0"/>
        <v>306925</v>
      </c>
      <c r="G17" s="169">
        <f t="shared" ref="G17:G39" si="30">+F17/$D$6</f>
        <v>122.77</v>
      </c>
      <c r="H17" s="171">
        <f>$E17/$F17*0.3</f>
        <v>5.6691374114197279E-2</v>
      </c>
      <c r="I17" s="171">
        <f>$E17/$F17*0.7</f>
        <v>0.13227987293312699</v>
      </c>
      <c r="J17" s="172">
        <f t="shared" si="5"/>
        <v>0.81102875295267585</v>
      </c>
      <c r="K17" s="173">
        <f t="shared" si="22"/>
        <v>6.96</v>
      </c>
      <c r="L17" s="174">
        <f t="shared" si="23"/>
        <v>16.239999999999998</v>
      </c>
      <c r="M17" s="175">
        <f t="shared" si="24"/>
        <v>99.570000000000007</v>
      </c>
      <c r="N17" s="291">
        <f t="shared" ref="N17:N39" si="31">F17*H17</f>
        <v>17400</v>
      </c>
      <c r="O17" s="261">
        <f t="shared" ref="O17:O39" si="32">+L17*$D$6</f>
        <v>40599.999999999993</v>
      </c>
      <c r="P17" s="262">
        <f t="shared" si="10"/>
        <v>248925</v>
      </c>
      <c r="Q17" s="170">
        <f>E17/F17</f>
        <v>0.18897124704732426</v>
      </c>
      <c r="R17" s="178">
        <f t="shared" si="11"/>
        <v>0.81102875295267574</v>
      </c>
      <c r="S17" s="176">
        <f t="shared" si="12"/>
        <v>58000</v>
      </c>
      <c r="T17" s="179">
        <f t="shared" si="13"/>
        <v>248925</v>
      </c>
      <c r="U17" s="180"/>
      <c r="V17" s="274">
        <v>2025</v>
      </c>
      <c r="W17" s="278"/>
      <c r="X17" s="127">
        <f t="shared" ref="X17:X39" si="33">S17*0.3</f>
        <v>17400</v>
      </c>
      <c r="Y17" s="128"/>
      <c r="Z17" s="127">
        <f t="shared" ref="Z17:Z43" si="34">S17*0.7</f>
        <v>40600</v>
      </c>
      <c r="AA17" s="288">
        <f t="shared" si="28"/>
        <v>248925</v>
      </c>
      <c r="AB17" s="72">
        <f t="shared" si="2"/>
        <v>57420</v>
      </c>
      <c r="AC17" s="186">
        <f>(200000/$C$10)*(12*InpC!$D$5)*(AA17/SUM(W17:AA17))*Discounting!D16</f>
        <v>3426906.1878717835</v>
      </c>
      <c r="AD17" s="181">
        <f>(((X17/$D$6)*'Berth Time'!$E$11+'Berth Time'!$H$11*('VMT Build'!Y17/$D$6)+('VMT Build'!Z17/$D$6)*'Berth Time'!$G$11+(AA17/$D$6)*'Berth Time'!$I$11))*(200000/F17)</f>
        <v>1299.4624093833995</v>
      </c>
      <c r="AE17" s="48"/>
      <c r="AF17" s="187">
        <f>'VMT No Build'!L20-L17</f>
        <v>62.716464787963673</v>
      </c>
      <c r="AG17" s="187">
        <f>'VMT No Build'!K20-'VMT Build'!K17</f>
        <v>26.878484909127287</v>
      </c>
      <c r="AI17" s="29"/>
    </row>
    <row r="18" spans="1:35" x14ac:dyDescent="0.25">
      <c r="A18" s="231">
        <f t="shared" ref="A18" si="35">1+A17</f>
        <v>2026</v>
      </c>
      <c r="B18" s="239">
        <v>9</v>
      </c>
      <c r="C18" s="235">
        <f t="shared" si="26"/>
        <v>243101.25</v>
      </c>
      <c r="D18" s="242">
        <f t="shared" ref="D18:D23" si="36">D17*(1+$D$2)</f>
        <v>18270</v>
      </c>
      <c r="E18" s="243">
        <f t="shared" ref="E18:E19" si="37">E17*(1+$D$3)</f>
        <v>66410</v>
      </c>
      <c r="F18" s="168">
        <f t="shared" si="0"/>
        <v>327781.25</v>
      </c>
      <c r="G18" s="169">
        <f t="shared" si="30"/>
        <v>131.11250000000001</v>
      </c>
      <c r="H18" s="171">
        <f t="shared" ref="H18:H43" si="38">$E18/$F18*0.3</f>
        <v>6.0781390027648007E-2</v>
      </c>
      <c r="I18" s="171">
        <f t="shared" ref="I18:I43" si="39">$E18/$F18*0.7</f>
        <v>0.14182324339784536</v>
      </c>
      <c r="J18" s="172">
        <f t="shared" si="5"/>
        <v>0.7973953665745066</v>
      </c>
      <c r="K18" s="173">
        <f t="shared" si="22"/>
        <v>7.9691999999999998</v>
      </c>
      <c r="L18" s="174">
        <f t="shared" si="23"/>
        <v>18.594799999999999</v>
      </c>
      <c r="M18" s="175">
        <f t="shared" si="24"/>
        <v>104.5485</v>
      </c>
      <c r="N18" s="291">
        <f t="shared" si="31"/>
        <v>19922.999999999996</v>
      </c>
      <c r="O18" s="261">
        <f t="shared" si="32"/>
        <v>46487</v>
      </c>
      <c r="P18" s="262">
        <f t="shared" si="10"/>
        <v>261371.25</v>
      </c>
      <c r="Q18" s="170">
        <f>E18/F18</f>
        <v>0.20260463342549337</v>
      </c>
      <c r="R18" s="178">
        <f t="shared" si="11"/>
        <v>0.7973953665745066</v>
      </c>
      <c r="S18" s="176">
        <f t="shared" si="12"/>
        <v>66410</v>
      </c>
      <c r="T18" s="179">
        <f t="shared" si="13"/>
        <v>261371.25</v>
      </c>
      <c r="U18" s="180"/>
      <c r="V18" s="274">
        <v>2026</v>
      </c>
      <c r="W18" s="278"/>
      <c r="X18" s="127">
        <f t="shared" si="33"/>
        <v>19923</v>
      </c>
      <c r="Y18" s="128"/>
      <c r="Z18" s="127">
        <f t="shared" si="34"/>
        <v>46487</v>
      </c>
      <c r="AA18" s="288">
        <f t="shared" si="28"/>
        <v>261371.25</v>
      </c>
      <c r="AB18" s="72">
        <f t="shared" si="2"/>
        <v>65745.899999999994</v>
      </c>
      <c r="AC18" s="186">
        <f>(200000/$C$10)*(12*InpC!$D$5)*(AA18/SUM(W18:AA18))*Discounting!D17</f>
        <v>3369299.9242579448</v>
      </c>
      <c r="AD18" s="181">
        <f>(((X18/$D$6)*'Berth Time'!$E$11+'Berth Time'!$H$11*('VMT Build'!Y18/$D$6)+('VMT Build'!Z18/$D$6)*'Berth Time'!$G$11+(AA18/$D$6)*'Berth Time'!$I$11))*(200000/F18)</f>
        <v>1333.0914291162169</v>
      </c>
      <c r="AE18" s="48"/>
      <c r="AF18" s="187">
        <f>'VMT No Build'!L21-L18</f>
        <v>60.361664787963669</v>
      </c>
      <c r="AG18" s="187">
        <f>'VMT No Build'!K21-'VMT Build'!K18</f>
        <v>25.869284909127288</v>
      </c>
      <c r="AI18" s="29"/>
    </row>
    <row r="19" spans="1:35" x14ac:dyDescent="0.25">
      <c r="A19" s="231">
        <f t="shared" ref="A19" si="40">1+A18</f>
        <v>2027</v>
      </c>
      <c r="B19" s="239">
        <v>10</v>
      </c>
      <c r="C19" s="235">
        <f>IF(ISBLANK($D$4)=TRUE,+C18*(1+$D$2),IF(+C18*(1+$D$2)&gt;=$D$4,$D$4,+C18*(1+$D$2)))</f>
        <v>255256.3125</v>
      </c>
      <c r="D19" s="242">
        <f t="shared" si="36"/>
        <v>19183.5</v>
      </c>
      <c r="E19" s="243">
        <f t="shared" si="37"/>
        <v>76039.45</v>
      </c>
      <c r="F19" s="168">
        <f t="shared" si="0"/>
        <v>350479.26250000001</v>
      </c>
      <c r="G19" s="169">
        <f t="shared" si="30"/>
        <v>140.19170500000001</v>
      </c>
      <c r="H19" s="171">
        <f t="shared" si="38"/>
        <v>6.5087545657569384E-2</v>
      </c>
      <c r="I19" s="171">
        <f t="shared" si="39"/>
        <v>0.1518709398676619</v>
      </c>
      <c r="J19" s="172">
        <f t="shared" si="5"/>
        <v>0.78304151447476877</v>
      </c>
      <c r="K19" s="173">
        <f t="shared" si="22"/>
        <v>9.1247339999999983</v>
      </c>
      <c r="L19" s="174">
        <f t="shared" si="23"/>
        <v>21.291045999999998</v>
      </c>
      <c r="M19" s="175">
        <f t="shared" si="24"/>
        <v>109.77592500000003</v>
      </c>
      <c r="N19" s="291">
        <f t="shared" si="31"/>
        <v>22811.834999999995</v>
      </c>
      <c r="O19" s="261">
        <f t="shared" si="32"/>
        <v>53227.614999999998</v>
      </c>
      <c r="P19" s="262">
        <f t="shared" si="10"/>
        <v>274439.8125</v>
      </c>
      <c r="Q19" s="170">
        <f t="shared" ref="Q19:Q39" si="41">E19/F19</f>
        <v>0.21695848552523131</v>
      </c>
      <c r="R19" s="178">
        <f t="shared" si="11"/>
        <v>0.78304151447476866</v>
      </c>
      <c r="S19" s="176">
        <f t="shared" si="12"/>
        <v>76039.45</v>
      </c>
      <c r="T19" s="179">
        <f t="shared" si="13"/>
        <v>274439.8125</v>
      </c>
      <c r="U19" s="180"/>
      <c r="V19" s="274">
        <v>2027</v>
      </c>
      <c r="W19" s="278"/>
      <c r="X19" s="127">
        <f t="shared" si="33"/>
        <v>22811.834999999999</v>
      </c>
      <c r="Y19" s="128"/>
      <c r="Z19" s="127">
        <f t="shared" si="34"/>
        <v>53227.614999999998</v>
      </c>
      <c r="AA19" s="288">
        <f t="shared" si="28"/>
        <v>274439.8125</v>
      </c>
      <c r="AB19" s="72">
        <f t="shared" si="2"/>
        <v>75279.055499999988</v>
      </c>
      <c r="AC19" s="186">
        <f>(200000/$C$10)*(12*InpC!$D$5)*(AA19/SUM(W19:AA19))*Discounting!D18</f>
        <v>3308649.417847035</v>
      </c>
      <c r="AD19" s="181">
        <f>(((X19/$D$6)*'Berth Time'!$E$11+'Berth Time'!$H$11*('VMT Build'!Y19/$D$6)+('VMT Build'!Z19/$D$6)*'Berth Time'!$G$11+(AA19/$D$6)*'Berth Time'!$I$11))*(200000/F19)</f>
        <v>1368.497597628904</v>
      </c>
      <c r="AE19" s="48"/>
      <c r="AF19" s="187">
        <f>'VMT No Build'!L22-L19</f>
        <v>57.665418787963674</v>
      </c>
      <c r="AG19" s="187">
        <f>'VMT No Build'!K22-'VMT Build'!K19</f>
        <v>24.713750909127292</v>
      </c>
      <c r="AI19" s="29"/>
    </row>
    <row r="20" spans="1:35" x14ac:dyDescent="0.25">
      <c r="A20" s="231">
        <f t="shared" ref="A20" si="42">1+A19</f>
        <v>2028</v>
      </c>
      <c r="B20" s="238">
        <f>1+B19</f>
        <v>11</v>
      </c>
      <c r="C20" s="235">
        <f t="shared" si="26"/>
        <v>268019.12812499999</v>
      </c>
      <c r="D20" s="242">
        <f t="shared" si="36"/>
        <v>20142.674999999999</v>
      </c>
      <c r="E20" s="243">
        <f>E19*(1+$D$3)</f>
        <v>87065.170249999996</v>
      </c>
      <c r="F20" s="168">
        <f t="shared" si="0"/>
        <v>375226.97337499994</v>
      </c>
      <c r="G20" s="169">
        <f t="shared" si="30"/>
        <v>150.09078934999997</v>
      </c>
      <c r="H20" s="171">
        <f t="shared" si="38"/>
        <v>6.961000388662425E-2</v>
      </c>
      <c r="I20" s="171">
        <f t="shared" si="39"/>
        <v>0.16242334240212325</v>
      </c>
      <c r="J20" s="172">
        <f t="shared" si="5"/>
        <v>0.76796665371125239</v>
      </c>
      <c r="K20" s="173">
        <f t="shared" si="22"/>
        <v>10.447820429999998</v>
      </c>
      <c r="L20" s="174">
        <f t="shared" si="23"/>
        <v>24.378247669999997</v>
      </c>
      <c r="M20" s="175">
        <f t="shared" si="24"/>
        <v>115.26472124999995</v>
      </c>
      <c r="N20" s="291">
        <f t="shared" si="31"/>
        <v>26119.551074999999</v>
      </c>
      <c r="O20" s="261">
        <f t="shared" si="32"/>
        <v>60945.619174999993</v>
      </c>
      <c r="P20" s="262">
        <f t="shared" si="10"/>
        <v>288161.80312499992</v>
      </c>
      <c r="Q20" s="170">
        <f t="shared" si="41"/>
        <v>0.2320333462887475</v>
      </c>
      <c r="R20" s="178">
        <f t="shared" si="11"/>
        <v>0.7679666537112525</v>
      </c>
      <c r="S20" s="176">
        <f t="shared" si="12"/>
        <v>87065.170249999996</v>
      </c>
      <c r="T20" s="179">
        <f t="shared" si="13"/>
        <v>288161.80312499998</v>
      </c>
      <c r="U20" s="180"/>
      <c r="V20" s="274">
        <v>2028</v>
      </c>
      <c r="W20" s="278"/>
      <c r="X20" s="127">
        <f t="shared" si="33"/>
        <v>26119.551074999999</v>
      </c>
      <c r="Y20" s="128"/>
      <c r="Z20" s="127">
        <f t="shared" si="34"/>
        <v>60945.619174999993</v>
      </c>
      <c r="AA20" s="288">
        <f t="shared" si="28"/>
        <v>288161.80312499992</v>
      </c>
      <c r="AB20" s="72">
        <f t="shared" si="2"/>
        <v>86194.518547499989</v>
      </c>
      <c r="AC20" s="186">
        <f>(200000/$C$10)*(12*InpC!$D$5)*(AA20/SUM(W20:AA20))*Discounting!D19</f>
        <v>3244952.3745008865</v>
      </c>
      <c r="AD20" s="181">
        <f>(((X20/$D$6)*'Berth Time'!$E$11+'Berth Time'!$H$11*('VMT Build'!Y20/$D$6)+('VMT Build'!Z20/$D$6)*'Berth Time'!$G$11+(AA20/$D$6)*'Berth Time'!$I$11))*(200000/F20)</f>
        <v>1405.6822541789102</v>
      </c>
      <c r="AE20" s="48"/>
      <c r="AF20" s="187">
        <f>'VMT No Build'!L23-L20</f>
        <v>54.578217117963675</v>
      </c>
      <c r="AG20" s="187">
        <f>'VMT No Build'!K23-'VMT Build'!K20</f>
        <v>23.390664479127288</v>
      </c>
      <c r="AI20" s="29"/>
    </row>
    <row r="21" spans="1:35" x14ac:dyDescent="0.25">
      <c r="A21" s="231">
        <f t="shared" ref="A21" si="43">1+A20</f>
        <v>2029</v>
      </c>
      <c r="B21" s="238">
        <f t="shared" si="3"/>
        <v>12</v>
      </c>
      <c r="C21" s="235">
        <f t="shared" si="26"/>
        <v>281420.08453125</v>
      </c>
      <c r="D21" s="242">
        <f t="shared" si="36"/>
        <v>21149.80875</v>
      </c>
      <c r="E21" s="243">
        <f t="shared" ref="E21:E23" si="44">E20*(1+$D$3)</f>
        <v>99689.61993624999</v>
      </c>
      <c r="F21" s="168">
        <f t="shared" si="0"/>
        <v>402259.5132175</v>
      </c>
      <c r="G21" s="169">
        <f t="shared" si="30"/>
        <v>160.90380528700001</v>
      </c>
      <c r="H21" s="171">
        <f t="shared" si="38"/>
        <v>7.4347243503734048E-2</v>
      </c>
      <c r="I21" s="171">
        <f t="shared" si="39"/>
        <v>0.17347690150871276</v>
      </c>
      <c r="J21" s="172">
        <f t="shared" si="5"/>
        <v>0.75217585498755324</v>
      </c>
      <c r="K21" s="173">
        <f t="shared" si="22"/>
        <v>11.96275439235</v>
      </c>
      <c r="L21" s="174">
        <f t="shared" si="23"/>
        <v>27.913093582149997</v>
      </c>
      <c r="M21" s="175">
        <f t="shared" si="24"/>
        <v>121.02795731250002</v>
      </c>
      <c r="N21" s="291">
        <f t="shared" si="31"/>
        <v>29906.885980874998</v>
      </c>
      <c r="O21" s="261">
        <f t="shared" si="32"/>
        <v>69782.733955374992</v>
      </c>
      <c r="P21" s="262">
        <f t="shared" si="10"/>
        <v>302569.89328125003</v>
      </c>
      <c r="Q21" s="170">
        <f t="shared" si="41"/>
        <v>0.24782414501244682</v>
      </c>
      <c r="R21" s="178">
        <f t="shared" si="11"/>
        <v>0.75217585498755324</v>
      </c>
      <c r="S21" s="176">
        <f t="shared" si="12"/>
        <v>99689.61993624999</v>
      </c>
      <c r="T21" s="179">
        <f t="shared" si="13"/>
        <v>302569.89328125003</v>
      </c>
      <c r="U21" s="180"/>
      <c r="V21" s="274">
        <v>2029</v>
      </c>
      <c r="W21" s="278"/>
      <c r="X21" s="127">
        <f t="shared" si="33"/>
        <v>29906.885980874995</v>
      </c>
      <c r="Y21" s="128"/>
      <c r="Z21" s="127">
        <f t="shared" si="34"/>
        <v>69782.733955374992</v>
      </c>
      <c r="AA21" s="288">
        <f t="shared" si="28"/>
        <v>302569.89328125003</v>
      </c>
      <c r="AB21" s="72">
        <f t="shared" si="2"/>
        <v>98692.723736887492</v>
      </c>
      <c r="AC21" s="186">
        <f>(200000/$C$10)*(12*InpC!$D$5)*(AA21/SUM(W21:AA21))*Discounting!D20</f>
        <v>3178230.2198785334</v>
      </c>
      <c r="AD21" s="181">
        <f>(((X21/$D$6)*'Berth Time'!$E$11+'Berth Time'!$H$11*('VMT Build'!Y21/$D$6)+('VMT Build'!Z21/$D$6)*'Berth Time'!$G$11+(AA21/$D$6)*'Berth Time'!$I$11))*(200000/F21)</f>
        <v>1444.632891030702</v>
      </c>
      <c r="AE21" s="48"/>
      <c r="AF21" s="187">
        <f>'VMT No Build'!L24-L21</f>
        <v>51.043371205813671</v>
      </c>
      <c r="AG21" s="187">
        <f>'VMT No Build'!K24-'VMT Build'!K21</f>
        <v>21.875730516777288</v>
      </c>
      <c r="AI21" s="29"/>
    </row>
    <row r="22" spans="1:35" x14ac:dyDescent="0.25">
      <c r="A22" s="231">
        <f t="shared" ref="A22" si="45">1+A21</f>
        <v>2030</v>
      </c>
      <c r="B22" s="238">
        <f t="shared" si="3"/>
        <v>13</v>
      </c>
      <c r="C22" s="235">
        <f t="shared" si="26"/>
        <v>295491.08875781251</v>
      </c>
      <c r="D22" s="242">
        <f t="shared" si="36"/>
        <v>22207.299187500001</v>
      </c>
      <c r="E22" s="243">
        <f t="shared" si="44"/>
        <v>114144.61482700624</v>
      </c>
      <c r="F22" s="168">
        <f t="shared" si="0"/>
        <v>431843.00277231878</v>
      </c>
      <c r="G22" s="169">
        <f t="shared" si="30"/>
        <v>172.73720110892751</v>
      </c>
      <c r="H22" s="171">
        <f t="shared" si="38"/>
        <v>7.9295911310981834E-2</v>
      </c>
      <c r="I22" s="171">
        <f t="shared" si="39"/>
        <v>0.18502379305895761</v>
      </c>
      <c r="J22" s="172">
        <f t="shared" si="5"/>
        <v>0.73568029563006054</v>
      </c>
      <c r="K22" s="173">
        <f t="shared" si="22"/>
        <v>13.697353779240748</v>
      </c>
      <c r="L22" s="174">
        <f t="shared" si="23"/>
        <v>31.960492151561745</v>
      </c>
      <c r="M22" s="175">
        <f t="shared" si="24"/>
        <v>127.07935517812501</v>
      </c>
      <c r="N22" s="291">
        <f t="shared" si="31"/>
        <v>34243.384448101875</v>
      </c>
      <c r="O22" s="261">
        <f t="shared" si="32"/>
        <v>79901.230378904365</v>
      </c>
      <c r="P22" s="262">
        <f t="shared" si="10"/>
        <v>317698.38794531254</v>
      </c>
      <c r="Q22" s="170">
        <f t="shared" si="41"/>
        <v>0.26431970436993946</v>
      </c>
      <c r="R22" s="178">
        <f t="shared" si="11"/>
        <v>0.73568029563006054</v>
      </c>
      <c r="S22" s="176">
        <f t="shared" si="12"/>
        <v>114144.61482700624</v>
      </c>
      <c r="T22" s="179">
        <f t="shared" si="13"/>
        <v>317698.38794531254</v>
      </c>
      <c r="U22" s="180"/>
      <c r="V22" s="274">
        <v>2030</v>
      </c>
      <c r="W22" s="278"/>
      <c r="X22" s="127">
        <f t="shared" si="33"/>
        <v>34243.384448101868</v>
      </c>
      <c r="Y22" s="128"/>
      <c r="Z22" s="127">
        <f t="shared" si="34"/>
        <v>79901.230378904365</v>
      </c>
      <c r="AA22" s="288">
        <f t="shared" si="28"/>
        <v>317698.38794531254</v>
      </c>
      <c r="AB22" s="72">
        <f t="shared" si="2"/>
        <v>113003.16867873617</v>
      </c>
      <c r="AC22" s="186">
        <f>(200000/$C$10)*(12*InpC!$D$5)*(AA22/SUM(W22:AA22))*Discounting!D21</f>
        <v>3108530.1824522447</v>
      </c>
      <c r="AD22" s="181">
        <f>(((X22/$D$6)*'Berth Time'!$E$11+'Berth Time'!$H$11*('VMT Build'!Y22/$D$6)+('VMT Build'!Z22/$D$6)*'Berth Time'!$G$11+(AA22/$D$6)*'Berth Time'!$I$11))*(200000/F22)</f>
        <v>1485.3219374458504</v>
      </c>
      <c r="AE22" s="48"/>
      <c r="AF22" s="187">
        <f>'VMT No Build'!L25-L22</f>
        <v>46.995972636401923</v>
      </c>
      <c r="AG22" s="187">
        <f>'VMT No Build'!K25-'VMT Build'!K22</f>
        <v>20.141131129886539</v>
      </c>
      <c r="AI22" s="29"/>
    </row>
    <row r="23" spans="1:35" x14ac:dyDescent="0.25">
      <c r="A23" s="231">
        <f t="shared" ref="A23" si="46">1+A22</f>
        <v>2031</v>
      </c>
      <c r="B23" s="238">
        <f t="shared" si="3"/>
        <v>14</v>
      </c>
      <c r="C23" s="235">
        <f t="shared" si="26"/>
        <v>310265.64319570316</v>
      </c>
      <c r="D23" s="242">
        <f t="shared" si="36"/>
        <v>23317.664146875002</v>
      </c>
      <c r="E23" s="243">
        <f t="shared" si="44"/>
        <v>130695.58397692215</v>
      </c>
      <c r="F23" s="168">
        <f t="shared" si="0"/>
        <v>464278.89131950034</v>
      </c>
      <c r="G23" s="169">
        <f t="shared" si="30"/>
        <v>185.71155652780013</v>
      </c>
      <c r="H23" s="171">
        <f t="shared" si="38"/>
        <v>8.4450695317299304E-2</v>
      </c>
      <c r="I23" s="171">
        <f t="shared" si="39"/>
        <v>0.19705162240703172</v>
      </c>
      <c r="J23" s="172">
        <f t="shared" si="5"/>
        <v>0.71849768227566901</v>
      </c>
      <c r="K23" s="173">
        <f t="shared" si="22"/>
        <v>15.683470077230655</v>
      </c>
      <c r="L23" s="174">
        <f t="shared" si="23"/>
        <v>36.594763513538197</v>
      </c>
      <c r="M23" s="175">
        <f t="shared" si="24"/>
        <v>133.43332293703128</v>
      </c>
      <c r="N23" s="291">
        <f t="shared" si="31"/>
        <v>39208.67519307664</v>
      </c>
      <c r="O23" s="261">
        <f t="shared" si="32"/>
        <v>91486.908783845487</v>
      </c>
      <c r="P23" s="262">
        <f t="shared" si="10"/>
        <v>333583.30734257819</v>
      </c>
      <c r="Q23" s="170">
        <f t="shared" si="41"/>
        <v>0.28150231772433104</v>
      </c>
      <c r="R23" s="178">
        <f t="shared" si="11"/>
        <v>0.71849768227566901</v>
      </c>
      <c r="S23" s="176">
        <f t="shared" si="12"/>
        <v>130695.58397692215</v>
      </c>
      <c r="T23" s="179">
        <f t="shared" si="13"/>
        <v>333583.30734257819</v>
      </c>
      <c r="U23" s="180"/>
      <c r="V23" s="274">
        <v>2031</v>
      </c>
      <c r="W23" s="278"/>
      <c r="X23" s="127">
        <f t="shared" si="33"/>
        <v>39208.67519307664</v>
      </c>
      <c r="Y23" s="128"/>
      <c r="Z23" s="127">
        <f t="shared" si="34"/>
        <v>91486.908783845502</v>
      </c>
      <c r="AA23" s="288">
        <f t="shared" si="28"/>
        <v>333583.30734257819</v>
      </c>
      <c r="AB23" s="72">
        <f t="shared" si="2"/>
        <v>129388.62813715292</v>
      </c>
      <c r="AC23" s="186">
        <f>(200000/$C$10)*(12*InpC!$D$5)*(AA23/SUM(W23:AA23))*Discounting!D22</f>
        <v>3035927.0795245129</v>
      </c>
      <c r="AD23" s="181">
        <f>(((X23/$D$6)*'Berth Time'!$E$11+'Berth Time'!$H$11*('VMT Build'!Y23/$D$6)+('VMT Build'!Z23/$D$6)*'Berth Time'!$G$11+(AA23/$D$6)*'Berth Time'!$I$11))*(200000/F23)</f>
        <v>1527.7057170533496</v>
      </c>
      <c r="AE23" s="48"/>
      <c r="AF23" s="187">
        <f>'VMT No Build'!L26-L23</f>
        <v>42.361701274425471</v>
      </c>
      <c r="AG23" s="187">
        <f>'VMT No Build'!K26-'VMT Build'!K23</f>
        <v>18.155014831896633</v>
      </c>
      <c r="AI23" s="29"/>
    </row>
    <row r="24" spans="1:35" x14ac:dyDescent="0.25">
      <c r="A24" s="231">
        <f t="shared" ref="A24" si="47">1+A23</f>
        <v>2032</v>
      </c>
      <c r="B24" s="17">
        <f t="shared" si="3"/>
        <v>15</v>
      </c>
      <c r="C24" s="235">
        <v>325000</v>
      </c>
      <c r="D24" s="242">
        <v>25000</v>
      </c>
      <c r="E24" s="243">
        <v>150000</v>
      </c>
      <c r="F24" s="168">
        <f t="shared" si="0"/>
        <v>500000</v>
      </c>
      <c r="G24" s="169">
        <f t="shared" si="30"/>
        <v>200</v>
      </c>
      <c r="H24" s="171">
        <f t="shared" si="38"/>
        <v>0.09</v>
      </c>
      <c r="I24" s="171">
        <f t="shared" si="39"/>
        <v>0.21</v>
      </c>
      <c r="J24" s="172">
        <f t="shared" si="5"/>
        <v>0.70000000000000007</v>
      </c>
      <c r="K24" s="173">
        <f t="shared" si="22"/>
        <v>18</v>
      </c>
      <c r="L24" s="174">
        <f t="shared" si="23"/>
        <v>42</v>
      </c>
      <c r="M24" s="175">
        <f t="shared" si="24"/>
        <v>140</v>
      </c>
      <c r="N24" s="291">
        <f t="shared" si="31"/>
        <v>45000</v>
      </c>
      <c r="O24" s="261">
        <f t="shared" si="32"/>
        <v>105000</v>
      </c>
      <c r="P24" s="179">
        <f t="shared" si="10"/>
        <v>350000</v>
      </c>
      <c r="Q24" s="170">
        <f t="shared" si="41"/>
        <v>0.3</v>
      </c>
      <c r="R24" s="178">
        <f t="shared" si="11"/>
        <v>0.7</v>
      </c>
      <c r="S24" s="176">
        <f t="shared" si="12"/>
        <v>150000</v>
      </c>
      <c r="T24" s="179">
        <f t="shared" si="13"/>
        <v>350000</v>
      </c>
      <c r="U24" s="180"/>
      <c r="V24" s="276">
        <v>2032</v>
      </c>
      <c r="W24" s="150"/>
      <c r="X24" s="127">
        <f t="shared" si="33"/>
        <v>45000</v>
      </c>
      <c r="Y24" s="128"/>
      <c r="Z24" s="127">
        <f t="shared" si="34"/>
        <v>105000</v>
      </c>
      <c r="AA24" s="288">
        <f t="shared" si="28"/>
        <v>350000</v>
      </c>
      <c r="AB24" s="72">
        <f t="shared" si="2"/>
        <v>148500</v>
      </c>
      <c r="AC24" s="186">
        <f>(200000/$C$10)*(12*InpC!$D$5)*(AA24/SUM(W24:AA24))*Discounting!D23</f>
        <v>2957767.3082204796</v>
      </c>
      <c r="AD24" s="181">
        <f>(((X24/$D$6)*'Berth Time'!$E$11+'Berth Time'!$H$11*('VMT Build'!Y24/$D$6)+('VMT Build'!Z24/$D$6)*'Berth Time'!$G$11+(AA24/$D$6)*'Berth Time'!$I$11))*(200000/F24)</f>
        <v>1573.3333333333333</v>
      </c>
      <c r="AE24" s="48"/>
      <c r="AF24" s="187">
        <f>'VMT No Build'!L27-L24</f>
        <v>36.956464787963668</v>
      </c>
      <c r="AG24" s="187">
        <f>'VMT No Build'!K27-'VMT Build'!K24</f>
        <v>15.838484909127288</v>
      </c>
      <c r="AI24" s="29"/>
    </row>
    <row r="25" spans="1:35" x14ac:dyDescent="0.25">
      <c r="A25" s="231">
        <f t="shared" ref="A25" si="48">1+A24</f>
        <v>2033</v>
      </c>
      <c r="B25" s="17">
        <f t="shared" si="3"/>
        <v>16</v>
      </c>
      <c r="C25" s="235">
        <v>325000</v>
      </c>
      <c r="D25" s="242">
        <v>25000</v>
      </c>
      <c r="E25" s="243">
        <v>150000</v>
      </c>
      <c r="F25" s="168">
        <f t="shared" si="0"/>
        <v>500000</v>
      </c>
      <c r="G25" s="169">
        <f t="shared" si="30"/>
        <v>200</v>
      </c>
      <c r="H25" s="171">
        <f t="shared" si="38"/>
        <v>0.09</v>
      </c>
      <c r="I25" s="171">
        <f t="shared" si="39"/>
        <v>0.21</v>
      </c>
      <c r="J25" s="172">
        <f t="shared" si="5"/>
        <v>0.70000000000000007</v>
      </c>
      <c r="K25" s="173">
        <f t="shared" si="22"/>
        <v>18</v>
      </c>
      <c r="L25" s="174">
        <f t="shared" si="23"/>
        <v>42</v>
      </c>
      <c r="M25" s="175">
        <f t="shared" si="24"/>
        <v>140</v>
      </c>
      <c r="N25" s="291">
        <f t="shared" si="31"/>
        <v>45000</v>
      </c>
      <c r="O25" s="261">
        <f t="shared" si="32"/>
        <v>105000</v>
      </c>
      <c r="P25" s="179">
        <f t="shared" si="10"/>
        <v>350000</v>
      </c>
      <c r="Q25" s="170">
        <f t="shared" si="41"/>
        <v>0.3</v>
      </c>
      <c r="R25" s="178">
        <f t="shared" si="11"/>
        <v>0.7</v>
      </c>
      <c r="S25" s="176">
        <f t="shared" si="12"/>
        <v>150000</v>
      </c>
      <c r="T25" s="179">
        <f t="shared" si="13"/>
        <v>350000</v>
      </c>
      <c r="U25" s="91"/>
      <c r="V25" s="276">
        <v>2033</v>
      </c>
      <c r="W25" s="150"/>
      <c r="X25" s="127">
        <f t="shared" si="33"/>
        <v>45000</v>
      </c>
      <c r="Y25" s="128"/>
      <c r="Z25" s="127">
        <f t="shared" si="34"/>
        <v>105000</v>
      </c>
      <c r="AA25" s="288">
        <f t="shared" si="28"/>
        <v>350000</v>
      </c>
      <c r="AB25" s="72">
        <f t="shared" si="2"/>
        <v>148500</v>
      </c>
      <c r="AC25" s="186">
        <f>(200000/$C$10)*(12*InpC!$D$5)*(AA25/SUM(W25:AA25))*Discounting!D24</f>
        <v>2957767.3082204796</v>
      </c>
      <c r="AD25" s="181">
        <f>(((X25/$D$6)*'Berth Time'!$E$11+'Berth Time'!$H$11*('VMT Build'!Y25/$D$6)+('VMT Build'!Z25/$D$6)*'Berth Time'!$G$11+(AA25/$D$6)*'Berth Time'!$I$11))*(200000/F25)</f>
        <v>1573.3333333333333</v>
      </c>
      <c r="AE25" s="48"/>
      <c r="AF25" s="187">
        <f>'VMT No Build'!L28-L25</f>
        <v>36.956464787963668</v>
      </c>
      <c r="AG25" s="187">
        <f>'VMT No Build'!K28-'VMT Build'!K25</f>
        <v>15.838484909127288</v>
      </c>
      <c r="AI25" s="29"/>
    </row>
    <row r="26" spans="1:35" x14ac:dyDescent="0.25">
      <c r="A26" s="231">
        <f t="shared" ref="A26" si="49">1+A25</f>
        <v>2034</v>
      </c>
      <c r="B26" s="17">
        <f t="shared" si="3"/>
        <v>17</v>
      </c>
      <c r="C26" s="235">
        <v>325000</v>
      </c>
      <c r="D26" s="242">
        <v>25000</v>
      </c>
      <c r="E26" s="243">
        <v>150000</v>
      </c>
      <c r="F26" s="168">
        <f t="shared" si="0"/>
        <v>500000</v>
      </c>
      <c r="G26" s="169">
        <f t="shared" si="30"/>
        <v>200</v>
      </c>
      <c r="H26" s="171">
        <f t="shared" si="38"/>
        <v>0.09</v>
      </c>
      <c r="I26" s="171">
        <f t="shared" si="39"/>
        <v>0.21</v>
      </c>
      <c r="J26" s="172">
        <f t="shared" si="5"/>
        <v>0.70000000000000007</v>
      </c>
      <c r="K26" s="173">
        <f t="shared" si="22"/>
        <v>18</v>
      </c>
      <c r="L26" s="174">
        <f t="shared" si="23"/>
        <v>42</v>
      </c>
      <c r="M26" s="175">
        <f t="shared" si="24"/>
        <v>140</v>
      </c>
      <c r="N26" s="291">
        <f t="shared" si="31"/>
        <v>45000</v>
      </c>
      <c r="O26" s="261">
        <f t="shared" si="32"/>
        <v>105000</v>
      </c>
      <c r="P26" s="179">
        <f t="shared" si="10"/>
        <v>350000</v>
      </c>
      <c r="Q26" s="170">
        <f t="shared" si="41"/>
        <v>0.3</v>
      </c>
      <c r="R26" s="178">
        <f t="shared" si="11"/>
        <v>0.7</v>
      </c>
      <c r="S26" s="176">
        <f t="shared" si="12"/>
        <v>150000</v>
      </c>
      <c r="T26" s="179">
        <f t="shared" si="13"/>
        <v>350000</v>
      </c>
      <c r="U26" s="91"/>
      <c r="V26" s="276">
        <v>2034</v>
      </c>
      <c r="W26" s="150"/>
      <c r="X26" s="127">
        <f t="shared" si="33"/>
        <v>45000</v>
      </c>
      <c r="Y26" s="128"/>
      <c r="Z26" s="127">
        <f t="shared" si="34"/>
        <v>105000</v>
      </c>
      <c r="AA26" s="288">
        <f t="shared" si="28"/>
        <v>350000</v>
      </c>
      <c r="AB26" s="72">
        <f t="shared" si="2"/>
        <v>148500</v>
      </c>
      <c r="AC26" s="186">
        <f>(200000/$C$10)*(12*InpC!$D$5)*(AA26/SUM(W26:AA26))*Discounting!D25</f>
        <v>2957767.3082204796</v>
      </c>
      <c r="AD26" s="181">
        <f>(((X26/$D$6)*'Berth Time'!$E$11+'Berth Time'!$H$11*('VMT Build'!Y26/$D$6)+('VMT Build'!Z26/$D$6)*'Berth Time'!$G$11+(AA26/$D$6)*'Berth Time'!$I$11))*(200000/F26)</f>
        <v>1573.3333333333333</v>
      </c>
      <c r="AE26" s="48"/>
      <c r="AF26" s="187">
        <f>'VMT No Build'!L29-L26</f>
        <v>36.956464787963668</v>
      </c>
      <c r="AG26" s="187">
        <f>'VMT No Build'!K29-'VMT Build'!K26</f>
        <v>15.838484909127288</v>
      </c>
      <c r="AI26" s="29"/>
    </row>
    <row r="27" spans="1:35" x14ac:dyDescent="0.25">
      <c r="A27" s="231">
        <f t="shared" ref="A27" si="50">1+A26</f>
        <v>2035</v>
      </c>
      <c r="B27" s="17">
        <f t="shared" ref="B27:B43" si="51">1+B26</f>
        <v>18</v>
      </c>
      <c r="C27" s="235">
        <v>325000</v>
      </c>
      <c r="D27" s="242">
        <v>25000</v>
      </c>
      <c r="E27" s="243">
        <v>150000</v>
      </c>
      <c r="F27" s="168">
        <f t="shared" si="0"/>
        <v>500000</v>
      </c>
      <c r="G27" s="169">
        <f t="shared" si="30"/>
        <v>200</v>
      </c>
      <c r="H27" s="171">
        <f t="shared" si="38"/>
        <v>0.09</v>
      </c>
      <c r="I27" s="171">
        <f t="shared" si="39"/>
        <v>0.21</v>
      </c>
      <c r="J27" s="172">
        <f t="shared" si="5"/>
        <v>0.70000000000000007</v>
      </c>
      <c r="K27" s="173">
        <f t="shared" si="22"/>
        <v>18</v>
      </c>
      <c r="L27" s="174">
        <f t="shared" si="23"/>
        <v>42</v>
      </c>
      <c r="M27" s="175">
        <f t="shared" si="24"/>
        <v>140</v>
      </c>
      <c r="N27" s="291">
        <f t="shared" si="31"/>
        <v>45000</v>
      </c>
      <c r="O27" s="261">
        <f t="shared" si="32"/>
        <v>105000</v>
      </c>
      <c r="P27" s="179">
        <f t="shared" si="10"/>
        <v>350000</v>
      </c>
      <c r="Q27" s="170">
        <f t="shared" si="41"/>
        <v>0.3</v>
      </c>
      <c r="R27" s="178">
        <f t="shared" si="11"/>
        <v>0.7</v>
      </c>
      <c r="S27" s="176">
        <f t="shared" si="12"/>
        <v>150000</v>
      </c>
      <c r="T27" s="179">
        <f t="shared" si="13"/>
        <v>350000</v>
      </c>
      <c r="U27" s="91"/>
      <c r="V27" s="276">
        <v>2035</v>
      </c>
      <c r="W27" s="150"/>
      <c r="X27" s="127">
        <f t="shared" si="33"/>
        <v>45000</v>
      </c>
      <c r="Y27" s="128"/>
      <c r="Z27" s="127">
        <f t="shared" si="34"/>
        <v>105000</v>
      </c>
      <c r="AA27" s="288">
        <f t="shared" si="28"/>
        <v>350000</v>
      </c>
      <c r="AB27" s="72">
        <f t="shared" si="2"/>
        <v>148500</v>
      </c>
      <c r="AC27" s="186">
        <f>(200000/$C$10)*(12*InpC!$D$5)*(AA27/SUM(W27:AA27))*Discounting!D26</f>
        <v>2957767.3082204796</v>
      </c>
      <c r="AD27" s="181">
        <f>(((X27/$D$6)*'Berth Time'!$E$11+'Berth Time'!$H$11*('VMT Build'!Y27/$D$6)+('VMT Build'!Z27/$D$6)*'Berth Time'!$G$11+(AA27/$D$6)*'Berth Time'!$I$11))*(200000/F27)</f>
        <v>1573.3333333333333</v>
      </c>
      <c r="AE27" s="48"/>
      <c r="AF27" s="187">
        <f>'VMT No Build'!L30-L27</f>
        <v>36.956464787963668</v>
      </c>
      <c r="AG27" s="187">
        <f>'VMT No Build'!K30-'VMT Build'!K27</f>
        <v>15.838484909127288</v>
      </c>
      <c r="AI27" s="29"/>
    </row>
    <row r="28" spans="1:35" x14ac:dyDescent="0.25">
      <c r="A28" s="231">
        <f t="shared" ref="A28" si="52">1+A27</f>
        <v>2036</v>
      </c>
      <c r="B28" s="17">
        <f t="shared" si="51"/>
        <v>19</v>
      </c>
      <c r="C28" s="235">
        <v>325000</v>
      </c>
      <c r="D28" s="242">
        <v>25000</v>
      </c>
      <c r="E28" s="243">
        <v>150000</v>
      </c>
      <c r="F28" s="168">
        <f t="shared" si="0"/>
        <v>500000</v>
      </c>
      <c r="G28" s="169">
        <f t="shared" si="30"/>
        <v>200</v>
      </c>
      <c r="H28" s="171">
        <f t="shared" si="38"/>
        <v>0.09</v>
      </c>
      <c r="I28" s="171">
        <f t="shared" si="39"/>
        <v>0.21</v>
      </c>
      <c r="J28" s="172">
        <f t="shared" si="5"/>
        <v>0.70000000000000007</v>
      </c>
      <c r="K28" s="173">
        <f t="shared" si="22"/>
        <v>18</v>
      </c>
      <c r="L28" s="174">
        <f t="shared" si="23"/>
        <v>42</v>
      </c>
      <c r="M28" s="175">
        <f t="shared" si="24"/>
        <v>140</v>
      </c>
      <c r="N28" s="291">
        <f t="shared" si="31"/>
        <v>45000</v>
      </c>
      <c r="O28" s="261">
        <f t="shared" si="32"/>
        <v>105000</v>
      </c>
      <c r="P28" s="179">
        <f t="shared" si="10"/>
        <v>350000</v>
      </c>
      <c r="Q28" s="170">
        <f t="shared" si="41"/>
        <v>0.3</v>
      </c>
      <c r="R28" s="178">
        <f t="shared" si="11"/>
        <v>0.7</v>
      </c>
      <c r="S28" s="176">
        <f t="shared" si="12"/>
        <v>150000</v>
      </c>
      <c r="T28" s="179">
        <f t="shared" si="13"/>
        <v>350000</v>
      </c>
      <c r="U28" s="91"/>
      <c r="V28" s="276">
        <v>2036</v>
      </c>
      <c r="W28" s="150"/>
      <c r="X28" s="127">
        <f t="shared" si="33"/>
        <v>45000</v>
      </c>
      <c r="Y28" s="128"/>
      <c r="Z28" s="127">
        <f t="shared" si="34"/>
        <v>105000</v>
      </c>
      <c r="AA28" s="288">
        <f t="shared" si="28"/>
        <v>350000</v>
      </c>
      <c r="AB28" s="72">
        <f t="shared" si="2"/>
        <v>148500</v>
      </c>
      <c r="AC28" s="186">
        <f>(200000/$C$10)*(12*InpC!$D$5)*(AA28/SUM(W28:AA28))*Discounting!D27</f>
        <v>2957767.3082204796</v>
      </c>
      <c r="AD28" s="181">
        <f>(((X28/$D$6)*'Berth Time'!$E$11+'Berth Time'!$H$11*('VMT Build'!Y28/$D$6)+('VMT Build'!Z28/$D$6)*'Berth Time'!$G$11+(AA28/$D$6)*'Berth Time'!$I$11))*(200000/F28)</f>
        <v>1573.3333333333333</v>
      </c>
      <c r="AE28" s="48"/>
      <c r="AF28" s="187">
        <f>'VMT No Build'!L31-L28</f>
        <v>36.956464787963668</v>
      </c>
      <c r="AG28" s="187">
        <f>'VMT No Build'!K31-'VMT Build'!K28</f>
        <v>15.838484909127288</v>
      </c>
      <c r="AI28" s="29"/>
    </row>
    <row r="29" spans="1:35" x14ac:dyDescent="0.25">
      <c r="A29" s="231">
        <f t="shared" ref="A29" si="53">1+A28</f>
        <v>2037</v>
      </c>
      <c r="B29" s="17">
        <f t="shared" si="51"/>
        <v>20</v>
      </c>
      <c r="C29" s="235">
        <v>325000</v>
      </c>
      <c r="D29" s="242">
        <v>25000</v>
      </c>
      <c r="E29" s="243">
        <v>150000</v>
      </c>
      <c r="F29" s="168">
        <f t="shared" si="0"/>
        <v>500000</v>
      </c>
      <c r="G29" s="169">
        <f t="shared" si="30"/>
        <v>200</v>
      </c>
      <c r="H29" s="171">
        <f t="shared" si="38"/>
        <v>0.09</v>
      </c>
      <c r="I29" s="171">
        <f t="shared" si="39"/>
        <v>0.21</v>
      </c>
      <c r="J29" s="172">
        <f t="shared" si="5"/>
        <v>0.70000000000000007</v>
      </c>
      <c r="K29" s="173">
        <f t="shared" si="22"/>
        <v>18</v>
      </c>
      <c r="L29" s="174">
        <f t="shared" si="23"/>
        <v>42</v>
      </c>
      <c r="M29" s="175">
        <f t="shared" si="24"/>
        <v>140</v>
      </c>
      <c r="N29" s="291">
        <f t="shared" si="31"/>
        <v>45000</v>
      </c>
      <c r="O29" s="261">
        <f t="shared" si="32"/>
        <v>105000</v>
      </c>
      <c r="P29" s="179">
        <f t="shared" si="10"/>
        <v>350000</v>
      </c>
      <c r="Q29" s="170">
        <f t="shared" si="41"/>
        <v>0.3</v>
      </c>
      <c r="R29" s="178">
        <f t="shared" si="11"/>
        <v>0.7</v>
      </c>
      <c r="S29" s="176">
        <f t="shared" si="12"/>
        <v>150000</v>
      </c>
      <c r="T29" s="179">
        <f t="shared" si="13"/>
        <v>350000</v>
      </c>
      <c r="U29" s="91"/>
      <c r="V29" s="276">
        <v>2037</v>
      </c>
      <c r="W29" s="150"/>
      <c r="X29" s="127">
        <f t="shared" si="33"/>
        <v>45000</v>
      </c>
      <c r="Y29" s="128"/>
      <c r="Z29" s="127">
        <f t="shared" si="34"/>
        <v>105000</v>
      </c>
      <c r="AA29" s="288">
        <f t="shared" si="28"/>
        <v>350000</v>
      </c>
      <c r="AB29" s="72">
        <f t="shared" si="2"/>
        <v>148500</v>
      </c>
      <c r="AC29" s="186">
        <f>(200000/$C$10)*(12*InpC!$D$5)*(AA29/SUM(W29:AA29))*Discounting!D28</f>
        <v>2957767.3082204796</v>
      </c>
      <c r="AD29" s="181">
        <f>(((X29/$D$6)*'Berth Time'!$E$11+'Berth Time'!$H$11*('VMT Build'!Y29/$D$6)+('VMT Build'!Z29/$D$6)*'Berth Time'!$G$11+(AA29/$D$6)*'Berth Time'!$I$11))*(200000/F29)</f>
        <v>1573.3333333333333</v>
      </c>
      <c r="AE29" s="48"/>
      <c r="AF29" s="187">
        <f>'VMT No Build'!L32-L29</f>
        <v>36.956464787963668</v>
      </c>
      <c r="AG29" s="187">
        <f>'VMT No Build'!K32-'VMT Build'!K29</f>
        <v>15.838484909127288</v>
      </c>
      <c r="AI29" s="29"/>
    </row>
    <row r="30" spans="1:35" x14ac:dyDescent="0.25">
      <c r="A30" s="231">
        <f t="shared" ref="A30" si="54">1+A29</f>
        <v>2038</v>
      </c>
      <c r="B30" s="17">
        <f t="shared" si="51"/>
        <v>21</v>
      </c>
      <c r="C30" s="235">
        <v>325000</v>
      </c>
      <c r="D30" s="242">
        <v>25000</v>
      </c>
      <c r="E30" s="243">
        <v>150000</v>
      </c>
      <c r="F30" s="168">
        <f t="shared" si="0"/>
        <v>500000</v>
      </c>
      <c r="G30" s="169">
        <f t="shared" si="30"/>
        <v>200</v>
      </c>
      <c r="H30" s="171">
        <f t="shared" si="38"/>
        <v>0.09</v>
      </c>
      <c r="I30" s="171">
        <f t="shared" si="39"/>
        <v>0.21</v>
      </c>
      <c r="J30" s="172">
        <f t="shared" si="5"/>
        <v>0.70000000000000007</v>
      </c>
      <c r="K30" s="173">
        <f t="shared" si="22"/>
        <v>18</v>
      </c>
      <c r="L30" s="174">
        <f t="shared" si="23"/>
        <v>42</v>
      </c>
      <c r="M30" s="175">
        <f t="shared" si="24"/>
        <v>140</v>
      </c>
      <c r="N30" s="291">
        <f t="shared" si="31"/>
        <v>45000</v>
      </c>
      <c r="O30" s="261">
        <f t="shared" si="32"/>
        <v>105000</v>
      </c>
      <c r="P30" s="179">
        <f t="shared" si="10"/>
        <v>350000</v>
      </c>
      <c r="Q30" s="170">
        <f t="shared" si="41"/>
        <v>0.3</v>
      </c>
      <c r="R30" s="178">
        <f t="shared" si="11"/>
        <v>0.7</v>
      </c>
      <c r="S30" s="176">
        <f t="shared" si="12"/>
        <v>150000</v>
      </c>
      <c r="T30" s="179">
        <f t="shared" si="13"/>
        <v>350000</v>
      </c>
      <c r="U30" s="91"/>
      <c r="V30" s="276">
        <v>2038</v>
      </c>
      <c r="W30" s="150"/>
      <c r="X30" s="127">
        <f t="shared" si="33"/>
        <v>45000</v>
      </c>
      <c r="Y30" s="128"/>
      <c r="Z30" s="127">
        <f t="shared" si="34"/>
        <v>105000</v>
      </c>
      <c r="AA30" s="288">
        <f t="shared" si="28"/>
        <v>350000</v>
      </c>
      <c r="AB30" s="72">
        <f t="shared" si="2"/>
        <v>148500</v>
      </c>
      <c r="AC30" s="186">
        <f>(200000/$C$10)*(12*InpC!$D$5)*(AA30/SUM(W30:AA30))*Discounting!D29</f>
        <v>2957767.3082204796</v>
      </c>
      <c r="AD30" s="181">
        <f>(((X30/$D$6)*'Berth Time'!$E$11+'Berth Time'!$H$11*('VMT Build'!Y30/$D$6)+('VMT Build'!Z30/$D$6)*'Berth Time'!$G$11+(AA30/$D$6)*'Berth Time'!$I$11))*(200000/F30)</f>
        <v>1573.3333333333333</v>
      </c>
      <c r="AE30" s="48"/>
      <c r="AF30" s="187">
        <f>'VMT No Build'!L33-L30</f>
        <v>36.956464787963668</v>
      </c>
      <c r="AG30" s="187">
        <f>'VMT No Build'!K33-'VMT Build'!K30</f>
        <v>15.838484909127288</v>
      </c>
      <c r="AI30" s="29"/>
    </row>
    <row r="31" spans="1:35" x14ac:dyDescent="0.25">
      <c r="A31" s="231">
        <f t="shared" ref="A31" si="55">1+A30</f>
        <v>2039</v>
      </c>
      <c r="B31" s="17">
        <f t="shared" si="51"/>
        <v>22</v>
      </c>
      <c r="C31" s="235">
        <v>325000</v>
      </c>
      <c r="D31" s="242">
        <v>25000</v>
      </c>
      <c r="E31" s="243">
        <v>150000</v>
      </c>
      <c r="F31" s="168">
        <f t="shared" si="0"/>
        <v>500000</v>
      </c>
      <c r="G31" s="169">
        <f t="shared" si="30"/>
        <v>200</v>
      </c>
      <c r="H31" s="171">
        <f t="shared" si="38"/>
        <v>0.09</v>
      </c>
      <c r="I31" s="171">
        <f t="shared" si="39"/>
        <v>0.21</v>
      </c>
      <c r="J31" s="172">
        <f t="shared" si="5"/>
        <v>0.70000000000000007</v>
      </c>
      <c r="K31" s="173">
        <f t="shared" si="22"/>
        <v>18</v>
      </c>
      <c r="L31" s="174">
        <f t="shared" si="23"/>
        <v>42</v>
      </c>
      <c r="M31" s="175">
        <f t="shared" si="24"/>
        <v>140</v>
      </c>
      <c r="N31" s="291">
        <f t="shared" si="31"/>
        <v>45000</v>
      </c>
      <c r="O31" s="261">
        <f t="shared" si="32"/>
        <v>105000</v>
      </c>
      <c r="P31" s="179">
        <f t="shared" si="10"/>
        <v>350000</v>
      </c>
      <c r="Q31" s="170">
        <f t="shared" si="41"/>
        <v>0.3</v>
      </c>
      <c r="R31" s="178">
        <f t="shared" si="11"/>
        <v>0.7</v>
      </c>
      <c r="S31" s="176">
        <f t="shared" si="12"/>
        <v>150000</v>
      </c>
      <c r="T31" s="179">
        <f t="shared" si="13"/>
        <v>350000</v>
      </c>
      <c r="U31" s="91"/>
      <c r="V31" s="276">
        <v>2039</v>
      </c>
      <c r="W31" s="150"/>
      <c r="X31" s="127">
        <f t="shared" si="33"/>
        <v>45000</v>
      </c>
      <c r="Y31" s="128"/>
      <c r="Z31" s="127">
        <f t="shared" si="34"/>
        <v>105000</v>
      </c>
      <c r="AA31" s="288">
        <f t="shared" si="28"/>
        <v>350000</v>
      </c>
      <c r="AB31" s="72">
        <f t="shared" si="2"/>
        <v>148500</v>
      </c>
      <c r="AC31" s="186">
        <f>(200000/$C$10)*(12*InpC!$D$5)*(AA31/SUM(W31:AA31))*Discounting!D30</f>
        <v>2957767.3082204796</v>
      </c>
      <c r="AD31" s="181">
        <f>(((X31/$D$6)*'Berth Time'!$E$11+'Berth Time'!$H$11*('VMT Build'!Y31/$D$6)+('VMT Build'!Z31/$D$6)*'Berth Time'!$G$11+(AA31/$D$6)*'Berth Time'!$I$11))*(200000/F31)</f>
        <v>1573.3333333333333</v>
      </c>
      <c r="AE31" s="48"/>
      <c r="AF31" s="187">
        <f>'VMT No Build'!L34-L31</f>
        <v>36.956464787963668</v>
      </c>
      <c r="AG31" s="187">
        <f>'VMT No Build'!K34-'VMT Build'!K31</f>
        <v>15.838484909127288</v>
      </c>
      <c r="AI31" s="29"/>
    </row>
    <row r="32" spans="1:35" x14ac:dyDescent="0.25">
      <c r="A32" s="231">
        <f t="shared" ref="A32" si="56">1+A31</f>
        <v>2040</v>
      </c>
      <c r="B32" s="17">
        <f t="shared" si="51"/>
        <v>23</v>
      </c>
      <c r="C32" s="235">
        <v>325000</v>
      </c>
      <c r="D32" s="242">
        <v>25000</v>
      </c>
      <c r="E32" s="243">
        <v>150000</v>
      </c>
      <c r="F32" s="168">
        <f t="shared" si="0"/>
        <v>500000</v>
      </c>
      <c r="G32" s="169">
        <f t="shared" si="30"/>
        <v>200</v>
      </c>
      <c r="H32" s="171">
        <f t="shared" si="38"/>
        <v>0.09</v>
      </c>
      <c r="I32" s="171">
        <f t="shared" si="39"/>
        <v>0.21</v>
      </c>
      <c r="J32" s="172">
        <f t="shared" si="5"/>
        <v>0.70000000000000007</v>
      </c>
      <c r="K32" s="173">
        <f t="shared" si="22"/>
        <v>18</v>
      </c>
      <c r="L32" s="174">
        <f t="shared" si="23"/>
        <v>42</v>
      </c>
      <c r="M32" s="175">
        <f t="shared" si="24"/>
        <v>140</v>
      </c>
      <c r="N32" s="291">
        <f t="shared" si="31"/>
        <v>45000</v>
      </c>
      <c r="O32" s="261">
        <f t="shared" si="32"/>
        <v>105000</v>
      </c>
      <c r="P32" s="179">
        <f t="shared" si="10"/>
        <v>350000</v>
      </c>
      <c r="Q32" s="170">
        <f t="shared" si="41"/>
        <v>0.3</v>
      </c>
      <c r="R32" s="178">
        <f t="shared" si="11"/>
        <v>0.7</v>
      </c>
      <c r="S32" s="176">
        <f t="shared" si="12"/>
        <v>150000</v>
      </c>
      <c r="T32" s="179">
        <f t="shared" si="13"/>
        <v>350000</v>
      </c>
      <c r="U32" s="91"/>
      <c r="V32" s="276">
        <v>2040</v>
      </c>
      <c r="W32" s="150"/>
      <c r="X32" s="127">
        <f t="shared" si="33"/>
        <v>45000</v>
      </c>
      <c r="Y32" s="128"/>
      <c r="Z32" s="127">
        <f t="shared" si="34"/>
        <v>105000</v>
      </c>
      <c r="AA32" s="288">
        <f t="shared" si="28"/>
        <v>350000</v>
      </c>
      <c r="AB32" s="72">
        <f t="shared" si="2"/>
        <v>148500</v>
      </c>
      <c r="AC32" s="186">
        <f>(200000/$C$10)*(12*InpC!$D$5)*(AA32/SUM(W32:AA32))*Discounting!D31</f>
        <v>2957767.3082204796</v>
      </c>
      <c r="AD32" s="181">
        <f>(((X32/$D$6)*'Berth Time'!$E$11+'Berth Time'!$H$11*('VMT Build'!Y32/$D$6)+('VMT Build'!Z32/$D$6)*'Berth Time'!$G$11+(AA32/$D$6)*'Berth Time'!$I$11))*(200000/F32)</f>
        <v>1573.3333333333333</v>
      </c>
      <c r="AE32" s="48"/>
      <c r="AF32" s="187">
        <f>'VMT No Build'!L35-L32</f>
        <v>36.956464787963668</v>
      </c>
      <c r="AG32" s="187">
        <f>'VMT No Build'!K35-'VMT Build'!K32</f>
        <v>15.838484909127288</v>
      </c>
      <c r="AI32" s="29"/>
    </row>
    <row r="33" spans="1:35" x14ac:dyDescent="0.25">
      <c r="A33" s="231">
        <f t="shared" ref="A33" si="57">1+A32</f>
        <v>2041</v>
      </c>
      <c r="B33" s="17">
        <f t="shared" si="51"/>
        <v>24</v>
      </c>
      <c r="C33" s="235">
        <v>325000</v>
      </c>
      <c r="D33" s="242">
        <v>25000</v>
      </c>
      <c r="E33" s="243">
        <v>150000</v>
      </c>
      <c r="F33" s="168">
        <f t="shared" si="0"/>
        <v>500000</v>
      </c>
      <c r="G33" s="169">
        <f t="shared" si="30"/>
        <v>200</v>
      </c>
      <c r="H33" s="171">
        <f t="shared" si="38"/>
        <v>0.09</v>
      </c>
      <c r="I33" s="171">
        <f t="shared" si="39"/>
        <v>0.21</v>
      </c>
      <c r="J33" s="172">
        <f t="shared" si="5"/>
        <v>0.70000000000000007</v>
      </c>
      <c r="K33" s="173">
        <f t="shared" si="22"/>
        <v>18</v>
      </c>
      <c r="L33" s="174">
        <f t="shared" si="23"/>
        <v>42</v>
      </c>
      <c r="M33" s="175">
        <f t="shared" si="24"/>
        <v>140</v>
      </c>
      <c r="N33" s="291">
        <f t="shared" si="31"/>
        <v>45000</v>
      </c>
      <c r="O33" s="261">
        <f t="shared" si="32"/>
        <v>105000</v>
      </c>
      <c r="P33" s="179">
        <f t="shared" si="10"/>
        <v>350000</v>
      </c>
      <c r="Q33" s="170">
        <f t="shared" si="41"/>
        <v>0.3</v>
      </c>
      <c r="R33" s="178">
        <f t="shared" si="11"/>
        <v>0.7</v>
      </c>
      <c r="S33" s="176">
        <f t="shared" si="12"/>
        <v>150000</v>
      </c>
      <c r="T33" s="179">
        <f t="shared" si="13"/>
        <v>350000</v>
      </c>
      <c r="U33" s="91"/>
      <c r="V33" s="276">
        <v>2041</v>
      </c>
      <c r="W33" s="150"/>
      <c r="X33" s="127">
        <f t="shared" si="33"/>
        <v>45000</v>
      </c>
      <c r="Y33" s="128"/>
      <c r="Z33" s="127">
        <f t="shared" si="34"/>
        <v>105000</v>
      </c>
      <c r="AA33" s="288">
        <f t="shared" si="28"/>
        <v>350000</v>
      </c>
      <c r="AB33" s="72">
        <f t="shared" si="2"/>
        <v>148500</v>
      </c>
      <c r="AC33" s="186">
        <f>(200000/$C$10)*(12*InpC!$D$5)*(AA33/SUM(W33:AA33))*Discounting!D32</f>
        <v>2957767.3082204796</v>
      </c>
      <c r="AD33" s="181">
        <f>(((X33/$D$6)*'Berth Time'!$E$11+'Berth Time'!$H$11*('VMT Build'!Y33/$D$6)+('VMT Build'!Z33/$D$6)*'Berth Time'!$G$11+(AA33/$D$6)*'Berth Time'!$I$11))*(200000/F33)</f>
        <v>1573.3333333333333</v>
      </c>
      <c r="AE33" s="48"/>
      <c r="AF33" s="187">
        <f>'VMT No Build'!L36-L33</f>
        <v>36.956464787963668</v>
      </c>
      <c r="AG33" s="187">
        <f>'VMT No Build'!K36-'VMT Build'!K33</f>
        <v>15.838484909127288</v>
      </c>
      <c r="AI33" s="29"/>
    </row>
    <row r="34" spans="1:35" x14ac:dyDescent="0.25">
      <c r="A34" s="231">
        <f t="shared" ref="A34" si="58">1+A33</f>
        <v>2042</v>
      </c>
      <c r="B34" s="17">
        <f t="shared" si="51"/>
        <v>25</v>
      </c>
      <c r="C34" s="235">
        <v>325000</v>
      </c>
      <c r="D34" s="242">
        <v>25000</v>
      </c>
      <c r="E34" s="243">
        <v>150000</v>
      </c>
      <c r="F34" s="168">
        <f t="shared" si="0"/>
        <v>500000</v>
      </c>
      <c r="G34" s="169">
        <f t="shared" si="30"/>
        <v>200</v>
      </c>
      <c r="H34" s="171">
        <f t="shared" si="38"/>
        <v>0.09</v>
      </c>
      <c r="I34" s="171">
        <f t="shared" si="39"/>
        <v>0.21</v>
      </c>
      <c r="J34" s="172">
        <f t="shared" si="5"/>
        <v>0.70000000000000007</v>
      </c>
      <c r="K34" s="173">
        <f t="shared" si="22"/>
        <v>18</v>
      </c>
      <c r="L34" s="174">
        <f t="shared" si="23"/>
        <v>42</v>
      </c>
      <c r="M34" s="175">
        <f t="shared" si="24"/>
        <v>140</v>
      </c>
      <c r="N34" s="291">
        <f t="shared" si="31"/>
        <v>45000</v>
      </c>
      <c r="O34" s="261">
        <f t="shared" si="32"/>
        <v>105000</v>
      </c>
      <c r="P34" s="179">
        <f t="shared" si="10"/>
        <v>350000</v>
      </c>
      <c r="Q34" s="170">
        <f t="shared" si="41"/>
        <v>0.3</v>
      </c>
      <c r="R34" s="178">
        <f t="shared" si="11"/>
        <v>0.7</v>
      </c>
      <c r="S34" s="176">
        <f t="shared" si="12"/>
        <v>150000</v>
      </c>
      <c r="T34" s="179">
        <f t="shared" si="13"/>
        <v>350000</v>
      </c>
      <c r="U34" s="91"/>
      <c r="V34" s="276">
        <v>2042</v>
      </c>
      <c r="W34" s="150"/>
      <c r="X34" s="127">
        <f t="shared" si="33"/>
        <v>45000</v>
      </c>
      <c r="Y34" s="128"/>
      <c r="Z34" s="127">
        <f t="shared" si="34"/>
        <v>105000</v>
      </c>
      <c r="AA34" s="288">
        <f t="shared" si="28"/>
        <v>350000</v>
      </c>
      <c r="AB34" s="72">
        <f t="shared" si="2"/>
        <v>148500</v>
      </c>
      <c r="AC34" s="186">
        <f>(200000/$C$10)*(12*InpC!$D$5)*(AA34/SUM(W34:AA34))*Discounting!D33</f>
        <v>2957767.3082204796</v>
      </c>
      <c r="AD34" s="181">
        <f>(((X34/$D$6)*'Berth Time'!$E$11+'Berth Time'!$H$11*('VMT Build'!Y34/$D$6)+('VMT Build'!Z34/$D$6)*'Berth Time'!$G$11+(AA34/$D$6)*'Berth Time'!$I$11))*(200000/F34)</f>
        <v>1573.3333333333333</v>
      </c>
      <c r="AE34" s="48"/>
      <c r="AF34" s="187">
        <f>'VMT No Build'!L37-L34</f>
        <v>36.956464787963668</v>
      </c>
      <c r="AG34" s="187">
        <f>'VMT No Build'!K37-'VMT Build'!K34</f>
        <v>15.838484909127288</v>
      </c>
      <c r="AI34" s="29"/>
    </row>
    <row r="35" spans="1:35" x14ac:dyDescent="0.25">
      <c r="A35" s="231">
        <f t="shared" ref="A35" si="59">1+A34</f>
        <v>2043</v>
      </c>
      <c r="B35" s="17">
        <f t="shared" si="51"/>
        <v>26</v>
      </c>
      <c r="C35" s="235">
        <v>325000</v>
      </c>
      <c r="D35" s="242">
        <v>25000</v>
      </c>
      <c r="E35" s="243">
        <v>150000</v>
      </c>
      <c r="F35" s="168">
        <f t="shared" si="0"/>
        <v>500000</v>
      </c>
      <c r="G35" s="169">
        <f t="shared" si="30"/>
        <v>200</v>
      </c>
      <c r="H35" s="171">
        <f t="shared" si="38"/>
        <v>0.09</v>
      </c>
      <c r="I35" s="171">
        <f t="shared" si="39"/>
        <v>0.21</v>
      </c>
      <c r="J35" s="172">
        <f t="shared" si="5"/>
        <v>0.70000000000000007</v>
      </c>
      <c r="K35" s="173">
        <f t="shared" si="22"/>
        <v>18</v>
      </c>
      <c r="L35" s="174">
        <f t="shared" si="23"/>
        <v>42</v>
      </c>
      <c r="M35" s="175">
        <f t="shared" si="24"/>
        <v>140</v>
      </c>
      <c r="N35" s="291">
        <f t="shared" si="31"/>
        <v>45000</v>
      </c>
      <c r="O35" s="261">
        <f t="shared" si="32"/>
        <v>105000</v>
      </c>
      <c r="P35" s="179">
        <f t="shared" si="10"/>
        <v>350000</v>
      </c>
      <c r="Q35" s="170">
        <f t="shared" si="41"/>
        <v>0.3</v>
      </c>
      <c r="R35" s="178">
        <f t="shared" si="11"/>
        <v>0.7</v>
      </c>
      <c r="S35" s="176">
        <f t="shared" si="12"/>
        <v>150000</v>
      </c>
      <c r="T35" s="179">
        <f t="shared" si="13"/>
        <v>350000</v>
      </c>
      <c r="U35" s="91"/>
      <c r="V35" s="276">
        <v>2043</v>
      </c>
      <c r="W35" s="150"/>
      <c r="X35" s="127">
        <f t="shared" si="33"/>
        <v>45000</v>
      </c>
      <c r="Y35" s="128"/>
      <c r="Z35" s="127">
        <f t="shared" si="34"/>
        <v>105000</v>
      </c>
      <c r="AA35" s="288">
        <f t="shared" si="28"/>
        <v>350000</v>
      </c>
      <c r="AB35" s="72">
        <f t="shared" si="2"/>
        <v>148500</v>
      </c>
      <c r="AC35" s="186">
        <f>(200000/$C$10)*(12*InpC!$D$5)*(AA35/SUM(W35:AA35))*Discounting!D34</f>
        <v>2957767.3082204796</v>
      </c>
      <c r="AD35" s="181">
        <f>(((X35/$D$6)*'Berth Time'!$E$11+'Berth Time'!$H$11*('VMT Build'!Y35/$D$6)+('VMT Build'!Z35/$D$6)*'Berth Time'!$G$11+(AA35/$D$6)*'Berth Time'!$I$11))*(200000/F35)</f>
        <v>1573.3333333333333</v>
      </c>
      <c r="AE35" s="48"/>
      <c r="AF35" s="187">
        <f>'VMT No Build'!L38-L35</f>
        <v>36.956464787963668</v>
      </c>
      <c r="AG35" s="187">
        <f>'VMT No Build'!K38-'VMT Build'!K35</f>
        <v>15.838484909127288</v>
      </c>
      <c r="AI35" s="29"/>
    </row>
    <row r="36" spans="1:35" x14ac:dyDescent="0.25">
      <c r="A36" s="231">
        <f t="shared" ref="A36" si="60">1+A35</f>
        <v>2044</v>
      </c>
      <c r="B36" s="17">
        <f t="shared" si="51"/>
        <v>27</v>
      </c>
      <c r="C36" s="235">
        <v>325000</v>
      </c>
      <c r="D36" s="242">
        <v>25000</v>
      </c>
      <c r="E36" s="243">
        <v>150000</v>
      </c>
      <c r="F36" s="168">
        <f t="shared" si="0"/>
        <v>500000</v>
      </c>
      <c r="G36" s="169">
        <f t="shared" si="30"/>
        <v>200</v>
      </c>
      <c r="H36" s="171">
        <f t="shared" si="38"/>
        <v>0.09</v>
      </c>
      <c r="I36" s="171">
        <f t="shared" si="39"/>
        <v>0.21</v>
      </c>
      <c r="J36" s="172">
        <f t="shared" si="5"/>
        <v>0.70000000000000007</v>
      </c>
      <c r="K36" s="173">
        <f t="shared" si="22"/>
        <v>18</v>
      </c>
      <c r="L36" s="174">
        <f t="shared" si="23"/>
        <v>42</v>
      </c>
      <c r="M36" s="175">
        <f t="shared" si="24"/>
        <v>140</v>
      </c>
      <c r="N36" s="291">
        <f t="shared" si="31"/>
        <v>45000</v>
      </c>
      <c r="O36" s="261">
        <f t="shared" si="32"/>
        <v>105000</v>
      </c>
      <c r="P36" s="179">
        <f t="shared" si="10"/>
        <v>350000</v>
      </c>
      <c r="Q36" s="170">
        <f t="shared" si="41"/>
        <v>0.3</v>
      </c>
      <c r="R36" s="178">
        <f t="shared" si="11"/>
        <v>0.7</v>
      </c>
      <c r="S36" s="176">
        <f t="shared" si="12"/>
        <v>150000</v>
      </c>
      <c r="T36" s="179">
        <f t="shared" si="13"/>
        <v>350000</v>
      </c>
      <c r="U36" s="91"/>
      <c r="V36" s="276">
        <v>2044</v>
      </c>
      <c r="W36" s="150"/>
      <c r="X36" s="127">
        <f t="shared" si="33"/>
        <v>45000</v>
      </c>
      <c r="Y36" s="128"/>
      <c r="Z36" s="127">
        <f t="shared" si="34"/>
        <v>105000</v>
      </c>
      <c r="AA36" s="288">
        <f t="shared" si="28"/>
        <v>350000</v>
      </c>
      <c r="AB36" s="72">
        <f t="shared" si="2"/>
        <v>148500</v>
      </c>
      <c r="AC36" s="186">
        <f>(200000/$C$10)*(12*InpC!$D$5)*(AA36/SUM(W36:AA36))*Discounting!D35</f>
        <v>2957767.3082204796</v>
      </c>
      <c r="AD36" s="181">
        <f>(((X36/$D$6)*'Berth Time'!$E$11+'Berth Time'!$H$11*('VMT Build'!Y36/$D$6)+('VMT Build'!Z36/$D$6)*'Berth Time'!$G$11+(AA36/$D$6)*'Berth Time'!$I$11))*(200000/F36)</f>
        <v>1573.3333333333333</v>
      </c>
      <c r="AE36" s="48"/>
      <c r="AF36" s="187">
        <f>'VMT No Build'!L39-L36</f>
        <v>36.956464787963668</v>
      </c>
      <c r="AG36" s="187">
        <f>'VMT No Build'!K39-'VMT Build'!K36</f>
        <v>15.838484909127288</v>
      </c>
      <c r="AI36" s="29"/>
    </row>
    <row r="37" spans="1:35" x14ac:dyDescent="0.25">
      <c r="A37" s="231">
        <f t="shared" ref="A37" si="61">1+A36</f>
        <v>2045</v>
      </c>
      <c r="B37" s="17">
        <f t="shared" si="51"/>
        <v>28</v>
      </c>
      <c r="C37" s="235">
        <v>325000</v>
      </c>
      <c r="D37" s="242">
        <v>25000</v>
      </c>
      <c r="E37" s="243">
        <v>150000</v>
      </c>
      <c r="F37" s="168">
        <f t="shared" si="0"/>
        <v>500000</v>
      </c>
      <c r="G37" s="169">
        <f t="shared" si="30"/>
        <v>200</v>
      </c>
      <c r="H37" s="171">
        <f t="shared" si="38"/>
        <v>0.09</v>
      </c>
      <c r="I37" s="171">
        <f t="shared" si="39"/>
        <v>0.21</v>
      </c>
      <c r="J37" s="172">
        <f t="shared" si="5"/>
        <v>0.70000000000000007</v>
      </c>
      <c r="K37" s="173">
        <f t="shared" si="22"/>
        <v>18</v>
      </c>
      <c r="L37" s="174">
        <f t="shared" si="23"/>
        <v>42</v>
      </c>
      <c r="M37" s="175">
        <f t="shared" si="24"/>
        <v>140</v>
      </c>
      <c r="N37" s="291">
        <f t="shared" si="31"/>
        <v>45000</v>
      </c>
      <c r="O37" s="261">
        <f t="shared" si="32"/>
        <v>105000</v>
      </c>
      <c r="P37" s="179">
        <f t="shared" si="10"/>
        <v>350000</v>
      </c>
      <c r="Q37" s="170">
        <f t="shared" si="41"/>
        <v>0.3</v>
      </c>
      <c r="R37" s="178">
        <f t="shared" si="11"/>
        <v>0.7</v>
      </c>
      <c r="S37" s="176">
        <f t="shared" si="12"/>
        <v>150000</v>
      </c>
      <c r="T37" s="179">
        <f t="shared" si="13"/>
        <v>350000</v>
      </c>
      <c r="U37" s="91"/>
      <c r="V37" s="276">
        <v>2045</v>
      </c>
      <c r="W37" s="150"/>
      <c r="X37" s="127">
        <f t="shared" si="33"/>
        <v>45000</v>
      </c>
      <c r="Y37" s="128"/>
      <c r="Z37" s="127">
        <f t="shared" si="34"/>
        <v>105000</v>
      </c>
      <c r="AA37" s="288">
        <f t="shared" si="28"/>
        <v>350000</v>
      </c>
      <c r="AB37" s="72">
        <f t="shared" si="2"/>
        <v>148500</v>
      </c>
      <c r="AC37" s="186">
        <f>(200000/$C$10)*(12*InpC!$D$5)*(AA37/SUM(W37:AA37))*Discounting!D36</f>
        <v>2957767.3082204796</v>
      </c>
      <c r="AD37" s="181">
        <f>(((X37/$D$6)*'Berth Time'!$E$11+'Berth Time'!$H$11*('VMT Build'!Y37/$D$6)+('VMT Build'!Z37/$D$6)*'Berth Time'!$G$11+(AA37/$D$6)*'Berth Time'!$I$11))*(200000/F37)</f>
        <v>1573.3333333333333</v>
      </c>
      <c r="AE37" s="48"/>
      <c r="AF37" s="187">
        <f>'VMT No Build'!L40-L37</f>
        <v>36.956464787963668</v>
      </c>
      <c r="AG37" s="187">
        <f>'VMT No Build'!K40-'VMT Build'!K37</f>
        <v>15.838484909127288</v>
      </c>
      <c r="AI37" s="29"/>
    </row>
    <row r="38" spans="1:35" x14ac:dyDescent="0.25">
      <c r="A38" s="231">
        <f t="shared" ref="A38" si="62">1+A37</f>
        <v>2046</v>
      </c>
      <c r="B38" s="17">
        <f t="shared" si="51"/>
        <v>29</v>
      </c>
      <c r="C38" s="235">
        <v>325000</v>
      </c>
      <c r="D38" s="242">
        <v>25000</v>
      </c>
      <c r="E38" s="243">
        <v>150000</v>
      </c>
      <c r="F38" s="168">
        <f t="shared" si="0"/>
        <v>500000</v>
      </c>
      <c r="G38" s="169">
        <f t="shared" si="30"/>
        <v>200</v>
      </c>
      <c r="H38" s="171">
        <f t="shared" si="38"/>
        <v>0.09</v>
      </c>
      <c r="I38" s="171">
        <f t="shared" si="39"/>
        <v>0.21</v>
      </c>
      <c r="J38" s="172">
        <f t="shared" si="5"/>
        <v>0.70000000000000007</v>
      </c>
      <c r="K38" s="173">
        <f t="shared" si="22"/>
        <v>18</v>
      </c>
      <c r="L38" s="174">
        <f t="shared" si="23"/>
        <v>42</v>
      </c>
      <c r="M38" s="175">
        <f t="shared" si="24"/>
        <v>140</v>
      </c>
      <c r="N38" s="291">
        <f t="shared" si="31"/>
        <v>45000</v>
      </c>
      <c r="O38" s="261">
        <f t="shared" si="32"/>
        <v>105000</v>
      </c>
      <c r="P38" s="179">
        <f t="shared" si="10"/>
        <v>350000</v>
      </c>
      <c r="Q38" s="170">
        <f t="shared" si="41"/>
        <v>0.3</v>
      </c>
      <c r="R38" s="178">
        <f t="shared" si="11"/>
        <v>0.7</v>
      </c>
      <c r="S38" s="176">
        <f t="shared" si="12"/>
        <v>150000</v>
      </c>
      <c r="T38" s="179">
        <f t="shared" si="13"/>
        <v>350000</v>
      </c>
      <c r="U38" s="91"/>
      <c r="V38" s="276">
        <v>2046</v>
      </c>
      <c r="W38" s="150"/>
      <c r="X38" s="127">
        <f t="shared" si="33"/>
        <v>45000</v>
      </c>
      <c r="Y38" s="128"/>
      <c r="Z38" s="127">
        <f t="shared" si="34"/>
        <v>105000</v>
      </c>
      <c r="AA38" s="288">
        <f t="shared" si="28"/>
        <v>350000</v>
      </c>
      <c r="AB38" s="72">
        <f t="shared" si="2"/>
        <v>148500</v>
      </c>
      <c r="AC38" s="186">
        <f>(200000/$C$10)*(12*InpC!$D$5)*(AA38/SUM(W38:AA38))*Discounting!D37</f>
        <v>2957767.3082204796</v>
      </c>
      <c r="AD38" s="181">
        <f>(((X38/$D$6)*'Berth Time'!$E$11+'Berth Time'!$H$11*('VMT Build'!Y38/$D$6)+('VMT Build'!Z38/$D$6)*'Berth Time'!$G$11+(AA38/$D$6)*'Berth Time'!$I$11))*(200000/F38)</f>
        <v>1573.3333333333333</v>
      </c>
      <c r="AE38" s="48"/>
      <c r="AF38" s="187">
        <f>'VMT No Build'!L41-L38</f>
        <v>36.956464787963668</v>
      </c>
      <c r="AG38" s="187">
        <f>'VMT No Build'!K41-'VMT Build'!K38</f>
        <v>15.838484909127288</v>
      </c>
      <c r="AI38" s="29"/>
    </row>
    <row r="39" spans="1:35" ht="15.75" thickBot="1" x14ac:dyDescent="0.3">
      <c r="A39" s="231">
        <f t="shared" ref="A39:A43" si="63">1+A38</f>
        <v>2047</v>
      </c>
      <c r="B39" s="240">
        <f t="shared" si="51"/>
        <v>30</v>
      </c>
      <c r="C39" s="241">
        <v>325000</v>
      </c>
      <c r="D39" s="244">
        <v>25000</v>
      </c>
      <c r="E39" s="245">
        <v>150000</v>
      </c>
      <c r="F39" s="168">
        <f t="shared" si="0"/>
        <v>500000</v>
      </c>
      <c r="G39" s="247">
        <f t="shared" si="30"/>
        <v>200</v>
      </c>
      <c r="H39" s="269">
        <f t="shared" si="38"/>
        <v>0.09</v>
      </c>
      <c r="I39" s="258">
        <f t="shared" si="39"/>
        <v>0.21</v>
      </c>
      <c r="J39" s="259">
        <f t="shared" si="5"/>
        <v>0.70000000000000007</v>
      </c>
      <c r="K39" s="173">
        <f t="shared" si="22"/>
        <v>18</v>
      </c>
      <c r="L39" s="174">
        <f t="shared" si="23"/>
        <v>42</v>
      </c>
      <c r="M39" s="175">
        <f t="shared" si="24"/>
        <v>140</v>
      </c>
      <c r="N39" s="292">
        <f t="shared" si="31"/>
        <v>45000</v>
      </c>
      <c r="O39" s="263">
        <f t="shared" si="32"/>
        <v>105000</v>
      </c>
      <c r="P39" s="264">
        <f t="shared" si="10"/>
        <v>350000</v>
      </c>
      <c r="Q39" s="257">
        <f t="shared" si="41"/>
        <v>0.3</v>
      </c>
      <c r="R39" s="268">
        <f t="shared" si="11"/>
        <v>0.7</v>
      </c>
      <c r="S39" s="176">
        <f t="shared" ref="S39" si="64">+Q39*F39</f>
        <v>150000</v>
      </c>
      <c r="T39" s="179">
        <f t="shared" ref="T39" si="65">+F39-S39</f>
        <v>350000</v>
      </c>
      <c r="U39" s="91"/>
      <c r="V39" s="277">
        <v>2047</v>
      </c>
      <c r="W39" s="284"/>
      <c r="X39" s="280">
        <f t="shared" si="33"/>
        <v>45000</v>
      </c>
      <c r="Y39" s="128"/>
      <c r="Z39" s="280">
        <f t="shared" si="34"/>
        <v>105000</v>
      </c>
      <c r="AA39" s="290">
        <f t="shared" si="28"/>
        <v>350000</v>
      </c>
      <c r="AB39" s="72">
        <f t="shared" si="2"/>
        <v>148500</v>
      </c>
      <c r="AC39" s="186">
        <f>(200000/$C$10)*(12*InpC!$D$5)*(AA39/SUM(W39:AA39))*Discounting!D38</f>
        <v>2957767.3082204796</v>
      </c>
      <c r="AD39" s="181">
        <f>(((X39/$D$6)*'Berth Time'!$E$11+'Berth Time'!$H$11*('VMT Build'!Y39/$D$6)+('VMT Build'!Z39/$D$6)*'Berth Time'!$G$11+(AA39/$D$6)*'Berth Time'!$I$11))*(200000/F39)</f>
        <v>1573.3333333333333</v>
      </c>
      <c r="AE39" s="48"/>
      <c r="AF39" s="187">
        <f>'VMT No Build'!L42-L39</f>
        <v>36.956464787963668</v>
      </c>
      <c r="AG39" s="187">
        <f>'VMT No Build'!K42-'VMT Build'!K39</f>
        <v>15.838484909127288</v>
      </c>
      <c r="AI39" s="29"/>
    </row>
    <row r="40" spans="1:35" ht="15.75" thickBot="1" x14ac:dyDescent="0.3">
      <c r="A40" s="231">
        <f t="shared" si="63"/>
        <v>2048</v>
      </c>
      <c r="B40" s="240">
        <f t="shared" si="51"/>
        <v>31</v>
      </c>
      <c r="C40" s="241">
        <v>325000</v>
      </c>
      <c r="D40" s="244">
        <v>25000</v>
      </c>
      <c r="E40" s="245">
        <v>150000</v>
      </c>
      <c r="F40" s="168">
        <f t="shared" ref="F40:F43" si="66">SUM(C40:E40)</f>
        <v>500000</v>
      </c>
      <c r="G40" s="247">
        <f t="shared" ref="G40:G43" si="67">+F40/$D$6</f>
        <v>200</v>
      </c>
      <c r="H40" s="269">
        <f t="shared" si="38"/>
        <v>0.09</v>
      </c>
      <c r="I40" s="258">
        <f t="shared" si="39"/>
        <v>0.21</v>
      </c>
      <c r="J40" s="259">
        <f t="shared" ref="J40:J43" si="68">100%-H40-I40</f>
        <v>0.70000000000000007</v>
      </c>
      <c r="K40" s="173">
        <f t="shared" ref="K40:K43" si="69">$G40*H40</f>
        <v>18</v>
      </c>
      <c r="L40" s="174">
        <f t="shared" ref="L40:L43" si="70">$G40*I40</f>
        <v>42</v>
      </c>
      <c r="M40" s="175">
        <f t="shared" ref="M40:M43" si="71">$G40*J40</f>
        <v>140</v>
      </c>
      <c r="N40" s="292">
        <f t="shared" ref="N40:N43" si="72">F40*H40</f>
        <v>45000</v>
      </c>
      <c r="O40" s="263">
        <f t="shared" ref="O40:O43" si="73">+L40*$D$6</f>
        <v>105000</v>
      </c>
      <c r="P40" s="264">
        <f t="shared" ref="P40:P43" si="74">+F40-N40-O40</f>
        <v>350000</v>
      </c>
      <c r="Q40" s="257">
        <f t="shared" ref="Q40:Q43" si="75">E40/F40</f>
        <v>0.3</v>
      </c>
      <c r="R40" s="268">
        <f t="shared" ref="R40:R43" si="76">(+Q40-1)*-1</f>
        <v>0.7</v>
      </c>
      <c r="S40" s="176">
        <f t="shared" ref="S40:S43" si="77">+Q40*F40</f>
        <v>150000</v>
      </c>
      <c r="T40" s="179">
        <f t="shared" ref="T40:T43" si="78">+F40-S40</f>
        <v>350000</v>
      </c>
      <c r="U40" s="91"/>
      <c r="V40" s="276">
        <v>2048</v>
      </c>
      <c r="W40" s="284"/>
      <c r="X40" s="280">
        <f t="shared" ref="X40:X43" si="79">S40*0.3</f>
        <v>45000</v>
      </c>
      <c r="Y40" s="128"/>
      <c r="Z40" s="280">
        <f t="shared" si="34"/>
        <v>105000</v>
      </c>
      <c r="AA40" s="216">
        <f>MIN(J40,R40)*F40</f>
        <v>350000</v>
      </c>
      <c r="AB40" s="72">
        <f t="shared" si="2"/>
        <v>148500</v>
      </c>
      <c r="AC40" s="186">
        <f>(200000/$C$10)*(12*InpC!$D$5)*(AA40/SUM(W40:AA40))*Discounting!D39</f>
        <v>0</v>
      </c>
      <c r="AD40" s="181">
        <f>(((X40/$D$6)*'Berth Time'!$E$11+'Berth Time'!$H$11*('VMT Build'!Y40/$D$6)+('VMT Build'!Z40/$D$6)*'Berth Time'!$G$11+(AA40/$D$6)*'Berth Time'!$I$11))*(200000/F40)</f>
        <v>1573.3333333333333</v>
      </c>
      <c r="AE40" s="48"/>
      <c r="AF40" s="187">
        <f>'VMT No Build'!L43-L40</f>
        <v>36.956464787963668</v>
      </c>
      <c r="AG40" s="187">
        <f>'VMT No Build'!K43-'VMT Build'!K40</f>
        <v>15.838484909127288</v>
      </c>
      <c r="AI40" s="29"/>
    </row>
    <row r="41" spans="1:35" ht="15.75" thickBot="1" x14ac:dyDescent="0.3">
      <c r="A41" s="231">
        <f t="shared" si="63"/>
        <v>2049</v>
      </c>
      <c r="B41" s="240">
        <f t="shared" si="51"/>
        <v>32</v>
      </c>
      <c r="C41" s="241">
        <v>325000</v>
      </c>
      <c r="D41" s="244">
        <v>25000</v>
      </c>
      <c r="E41" s="245">
        <v>150000</v>
      </c>
      <c r="F41" s="168">
        <f t="shared" si="66"/>
        <v>500000</v>
      </c>
      <c r="G41" s="247">
        <f t="shared" si="67"/>
        <v>200</v>
      </c>
      <c r="H41" s="269">
        <f t="shared" si="38"/>
        <v>0.09</v>
      </c>
      <c r="I41" s="258">
        <f t="shared" si="39"/>
        <v>0.21</v>
      </c>
      <c r="J41" s="259">
        <f t="shared" si="68"/>
        <v>0.70000000000000007</v>
      </c>
      <c r="K41" s="173">
        <f t="shared" si="69"/>
        <v>18</v>
      </c>
      <c r="L41" s="174">
        <f t="shared" si="70"/>
        <v>42</v>
      </c>
      <c r="M41" s="175">
        <f t="shared" si="71"/>
        <v>140</v>
      </c>
      <c r="N41" s="292">
        <f t="shared" si="72"/>
        <v>45000</v>
      </c>
      <c r="O41" s="263">
        <f t="shared" si="73"/>
        <v>105000</v>
      </c>
      <c r="P41" s="264">
        <f t="shared" si="74"/>
        <v>350000</v>
      </c>
      <c r="Q41" s="257">
        <f t="shared" si="75"/>
        <v>0.3</v>
      </c>
      <c r="R41" s="268">
        <f t="shared" si="76"/>
        <v>0.7</v>
      </c>
      <c r="S41" s="176">
        <f t="shared" si="77"/>
        <v>150000</v>
      </c>
      <c r="T41" s="179">
        <f t="shared" si="78"/>
        <v>350000</v>
      </c>
      <c r="U41" s="91"/>
      <c r="V41" s="277">
        <v>2049</v>
      </c>
      <c r="W41" s="284"/>
      <c r="X41" s="280">
        <f t="shared" si="79"/>
        <v>45000</v>
      </c>
      <c r="Y41" s="128"/>
      <c r="Z41" s="280">
        <f t="shared" si="34"/>
        <v>105000</v>
      </c>
      <c r="AA41" s="216">
        <f>MIN(J41,R41)*F41</f>
        <v>350000</v>
      </c>
      <c r="AB41" s="72">
        <f t="shared" si="2"/>
        <v>148500</v>
      </c>
      <c r="AC41" s="186">
        <f>(200000/$C$10)*(12*InpC!$D$5)*(AA41/SUM(W41:AA41))*Discounting!D40</f>
        <v>0</v>
      </c>
      <c r="AD41" s="181">
        <f>(((X41/$D$6)*'Berth Time'!$E$11+'Berth Time'!$H$11*('VMT Build'!Y41/$D$6)+('VMT Build'!Z41/$D$6)*'Berth Time'!$G$11+(AA41/$D$6)*'Berth Time'!$I$11))*(200000/F41)</f>
        <v>1573.3333333333333</v>
      </c>
      <c r="AE41" s="48"/>
      <c r="AF41" s="187">
        <f>'VMT No Build'!L44-L41</f>
        <v>36.956464787963668</v>
      </c>
      <c r="AG41" s="187">
        <f>'VMT No Build'!K44-'VMT Build'!K41</f>
        <v>15.838484909127288</v>
      </c>
      <c r="AI41" s="29"/>
    </row>
    <row r="42" spans="1:35" ht="15.75" thickBot="1" x14ac:dyDescent="0.3">
      <c r="A42" s="231">
        <f t="shared" si="63"/>
        <v>2050</v>
      </c>
      <c r="B42" s="240">
        <f t="shared" si="51"/>
        <v>33</v>
      </c>
      <c r="C42" s="241">
        <v>325000</v>
      </c>
      <c r="D42" s="244">
        <v>25000</v>
      </c>
      <c r="E42" s="245">
        <v>150000</v>
      </c>
      <c r="F42" s="168">
        <f t="shared" si="66"/>
        <v>500000</v>
      </c>
      <c r="G42" s="247">
        <f t="shared" si="67"/>
        <v>200</v>
      </c>
      <c r="H42" s="269">
        <f t="shared" si="38"/>
        <v>0.09</v>
      </c>
      <c r="I42" s="258">
        <f t="shared" si="39"/>
        <v>0.21</v>
      </c>
      <c r="J42" s="259">
        <f t="shared" si="68"/>
        <v>0.70000000000000007</v>
      </c>
      <c r="K42" s="173">
        <f t="shared" si="69"/>
        <v>18</v>
      </c>
      <c r="L42" s="174">
        <f t="shared" si="70"/>
        <v>42</v>
      </c>
      <c r="M42" s="175">
        <f t="shared" si="71"/>
        <v>140</v>
      </c>
      <c r="N42" s="292">
        <f t="shared" si="72"/>
        <v>45000</v>
      </c>
      <c r="O42" s="263">
        <f t="shared" si="73"/>
        <v>105000</v>
      </c>
      <c r="P42" s="264">
        <f t="shared" si="74"/>
        <v>350000</v>
      </c>
      <c r="Q42" s="257">
        <f t="shared" si="75"/>
        <v>0.3</v>
      </c>
      <c r="R42" s="268">
        <f t="shared" si="76"/>
        <v>0.7</v>
      </c>
      <c r="S42" s="176">
        <f t="shared" si="77"/>
        <v>150000</v>
      </c>
      <c r="T42" s="179">
        <f t="shared" si="78"/>
        <v>350000</v>
      </c>
      <c r="U42" s="91"/>
      <c r="V42" s="276">
        <v>2050</v>
      </c>
      <c r="W42" s="284"/>
      <c r="X42" s="280">
        <f t="shared" si="79"/>
        <v>45000</v>
      </c>
      <c r="Y42" s="128"/>
      <c r="Z42" s="280">
        <f t="shared" si="34"/>
        <v>105000</v>
      </c>
      <c r="AA42" s="216">
        <f>MIN(J42,R42)*F42</f>
        <v>350000</v>
      </c>
      <c r="AB42" s="72">
        <f t="shared" si="2"/>
        <v>148500</v>
      </c>
      <c r="AC42" s="186">
        <f>(200000/$C$10)*(12*InpC!$D$5)*(AA42/SUM(W42:AA42))*Discounting!D41</f>
        <v>0</v>
      </c>
      <c r="AD42" s="181">
        <f>(((X42/$D$6)*'Berth Time'!$E$11+'Berth Time'!$H$11*('VMT Build'!Y42/$D$6)+('VMT Build'!Z42/$D$6)*'Berth Time'!$G$11+(AA42/$D$6)*'Berth Time'!$I$11))*(200000/F42)</f>
        <v>1573.3333333333333</v>
      </c>
      <c r="AE42" s="48"/>
      <c r="AF42" s="187">
        <f>'VMT No Build'!L45-L42</f>
        <v>36.956464787963668</v>
      </c>
      <c r="AG42" s="187">
        <f>'VMT No Build'!K45-'VMT Build'!K42</f>
        <v>15.838484909127288</v>
      </c>
      <c r="AI42" s="29"/>
    </row>
    <row r="43" spans="1:35" ht="15.75" thickBot="1" x14ac:dyDescent="0.3">
      <c r="A43" s="231">
        <f t="shared" si="63"/>
        <v>2051</v>
      </c>
      <c r="B43" s="240">
        <f t="shared" si="51"/>
        <v>34</v>
      </c>
      <c r="C43" s="241">
        <v>325000</v>
      </c>
      <c r="D43" s="244">
        <v>25000</v>
      </c>
      <c r="E43" s="245">
        <v>150000</v>
      </c>
      <c r="F43" s="168">
        <f t="shared" si="66"/>
        <v>500000</v>
      </c>
      <c r="G43" s="247">
        <f t="shared" si="67"/>
        <v>200</v>
      </c>
      <c r="H43" s="269">
        <f t="shared" si="38"/>
        <v>0.09</v>
      </c>
      <c r="I43" s="258">
        <f t="shared" si="39"/>
        <v>0.21</v>
      </c>
      <c r="J43" s="259">
        <f t="shared" si="68"/>
        <v>0.70000000000000007</v>
      </c>
      <c r="K43" s="173">
        <f t="shared" si="69"/>
        <v>18</v>
      </c>
      <c r="L43" s="174">
        <f t="shared" si="70"/>
        <v>42</v>
      </c>
      <c r="M43" s="175">
        <f t="shared" si="71"/>
        <v>140</v>
      </c>
      <c r="N43" s="292">
        <f t="shared" si="72"/>
        <v>45000</v>
      </c>
      <c r="O43" s="263">
        <f t="shared" si="73"/>
        <v>105000</v>
      </c>
      <c r="P43" s="264">
        <f t="shared" si="74"/>
        <v>350000</v>
      </c>
      <c r="Q43" s="257">
        <f t="shared" si="75"/>
        <v>0.3</v>
      </c>
      <c r="R43" s="268">
        <f t="shared" si="76"/>
        <v>0.7</v>
      </c>
      <c r="S43" s="176">
        <f t="shared" si="77"/>
        <v>150000</v>
      </c>
      <c r="T43" s="179">
        <f t="shared" si="78"/>
        <v>350000</v>
      </c>
      <c r="U43" s="91"/>
      <c r="V43" s="277">
        <v>2051</v>
      </c>
      <c r="W43" s="284"/>
      <c r="X43" s="280">
        <f t="shared" si="79"/>
        <v>45000</v>
      </c>
      <c r="Y43" s="128"/>
      <c r="Z43" s="280">
        <f t="shared" si="34"/>
        <v>105000</v>
      </c>
      <c r="AA43" s="216">
        <f>MIN(J43,R43)*F43</f>
        <v>350000</v>
      </c>
      <c r="AB43" s="72">
        <f t="shared" si="2"/>
        <v>148500</v>
      </c>
      <c r="AC43" s="186">
        <f>(200000/$C$10)*(12*InpC!$D$5)*(AA43/SUM(W43:AA43))*Discounting!D42</f>
        <v>0</v>
      </c>
      <c r="AD43" s="181">
        <f>(((X43/$D$6)*'Berth Time'!$E$11+'Berth Time'!$H$11*('VMT Build'!Y43/$D$6)+('VMT Build'!Z43/$D$6)*'Berth Time'!$G$11+(AA43/$D$6)*'Berth Time'!$I$11))*(200000/F43)</f>
        <v>1573.3333333333333</v>
      </c>
      <c r="AE43" s="48"/>
      <c r="AF43" s="187">
        <f>'VMT No Build'!L46-L43</f>
        <v>36.956464787963668</v>
      </c>
      <c r="AG43" s="187">
        <f>'VMT No Build'!K46-'VMT Build'!K43</f>
        <v>15.838484909127288</v>
      </c>
      <c r="AI43" s="29"/>
    </row>
    <row r="44" spans="1:35" x14ac:dyDescent="0.25">
      <c r="A44" s="86"/>
      <c r="B44" s="86"/>
      <c r="C44" s="183"/>
      <c r="D44" s="183"/>
      <c r="E44" s="183"/>
      <c r="F44" s="183"/>
      <c r="G44" s="184"/>
      <c r="H44" s="183"/>
      <c r="AB44" s="188"/>
    </row>
    <row r="45" spans="1:35" x14ac:dyDescent="0.25">
      <c r="A45" s="189"/>
      <c r="B45" s="189"/>
      <c r="C45" s="190"/>
      <c r="D45" s="190"/>
      <c r="E45" s="190"/>
      <c r="F45" s="190"/>
      <c r="G45" s="191"/>
      <c r="H45" s="190"/>
      <c r="I45" s="190"/>
      <c r="J45" s="190"/>
    </row>
  </sheetData>
  <mergeCells count="12">
    <mergeCell ref="A1:C1"/>
    <mergeCell ref="A2:C2"/>
    <mergeCell ref="A4:C4"/>
    <mergeCell ref="A5:C5"/>
    <mergeCell ref="W7:X7"/>
    <mergeCell ref="Y7:Z7"/>
    <mergeCell ref="D7:E7"/>
    <mergeCell ref="H7:J7"/>
    <mergeCell ref="K7:M7"/>
    <mergeCell ref="N7:P7"/>
    <mergeCell ref="Q7:R7"/>
    <mergeCell ref="S7:T7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3"/>
  <sheetViews>
    <sheetView workbookViewId="0">
      <selection activeCell="K15" sqref="K15"/>
    </sheetView>
  </sheetViews>
  <sheetFormatPr defaultRowHeight="15" x14ac:dyDescent="0.25"/>
  <sheetData>
    <row r="5" spans="4:10" ht="45" x14ac:dyDescent="0.25">
      <c r="E5" s="192" t="s">
        <v>141</v>
      </c>
      <c r="F5" s="192" t="s">
        <v>142</v>
      </c>
      <c r="G5" s="192" t="s">
        <v>143</v>
      </c>
      <c r="H5" s="192" t="s">
        <v>144</v>
      </c>
      <c r="I5" s="192" t="s">
        <v>137</v>
      </c>
      <c r="J5" s="192" t="s">
        <v>212</v>
      </c>
    </row>
    <row r="6" spans="4:10" x14ac:dyDescent="0.25">
      <c r="D6" t="s">
        <v>145</v>
      </c>
      <c r="E6" s="86">
        <f>2*0.5</f>
        <v>1</v>
      </c>
      <c r="F6" s="86">
        <f>2*1.8</f>
        <v>3.6</v>
      </c>
      <c r="G6" s="86">
        <f>2*1.2</f>
        <v>2.4</v>
      </c>
      <c r="H6" s="86">
        <f>2*1</f>
        <v>2</v>
      </c>
      <c r="I6" s="86">
        <f>2*0.25</f>
        <v>0.5</v>
      </c>
      <c r="J6">
        <v>1.8</v>
      </c>
    </row>
    <row r="7" spans="4:10" x14ac:dyDescent="0.25">
      <c r="D7" t="s">
        <v>146</v>
      </c>
      <c r="E7" s="86">
        <v>15</v>
      </c>
      <c r="F7" s="86">
        <v>15</v>
      </c>
      <c r="G7" s="86">
        <v>15</v>
      </c>
      <c r="H7" s="86">
        <v>15</v>
      </c>
      <c r="I7" s="86">
        <v>15</v>
      </c>
      <c r="J7" s="86">
        <v>15</v>
      </c>
    </row>
    <row r="8" spans="4:10" x14ac:dyDescent="0.25">
      <c r="D8" t="s">
        <v>147</v>
      </c>
      <c r="E8" s="86">
        <v>8</v>
      </c>
      <c r="F8" s="86">
        <v>8</v>
      </c>
      <c r="G8" s="86">
        <v>8</v>
      </c>
      <c r="H8" s="86">
        <v>8</v>
      </c>
      <c r="I8" s="86">
        <v>8</v>
      </c>
      <c r="J8" s="86">
        <v>8</v>
      </c>
    </row>
    <row r="9" spans="4:10" x14ac:dyDescent="0.25">
      <c r="D9" t="s">
        <v>148</v>
      </c>
      <c r="E9" s="193">
        <f t="shared" ref="E9:J9" si="0">(1/(E6/E7))*E8</f>
        <v>120</v>
      </c>
      <c r="F9" s="193">
        <f t="shared" si="0"/>
        <v>33.333333333333329</v>
      </c>
      <c r="G9" s="193">
        <f t="shared" si="0"/>
        <v>50</v>
      </c>
      <c r="H9" s="193">
        <f t="shared" si="0"/>
        <v>60</v>
      </c>
      <c r="I9" s="193">
        <f t="shared" si="0"/>
        <v>240</v>
      </c>
      <c r="J9" s="193">
        <f t="shared" si="0"/>
        <v>66.666666666666657</v>
      </c>
    </row>
    <row r="10" spans="4:10" x14ac:dyDescent="0.25">
      <c r="D10" t="s">
        <v>149</v>
      </c>
      <c r="E10" s="86">
        <f>'VMT Build'!$D$6</f>
        <v>2500</v>
      </c>
      <c r="F10" s="86">
        <f>'VMT Build'!$D$6</f>
        <v>2500</v>
      </c>
      <c r="G10" s="86">
        <f>'VMT Build'!$D$6</f>
        <v>2500</v>
      </c>
      <c r="H10" s="86">
        <f>'VMT Build'!$D$6</f>
        <v>2500</v>
      </c>
      <c r="I10" s="86">
        <f>'VMT Build'!$D$6</f>
        <v>2500</v>
      </c>
      <c r="J10" s="86">
        <f>'VMT Build'!$D$6</f>
        <v>2500</v>
      </c>
    </row>
    <row r="11" spans="4:10" x14ac:dyDescent="0.25">
      <c r="D11" s="48" t="s">
        <v>150</v>
      </c>
      <c r="E11" s="194">
        <f t="shared" ref="E11:I11" si="1">E10/E9</f>
        <v>20.833333333333332</v>
      </c>
      <c r="F11" s="194">
        <f t="shared" si="1"/>
        <v>75.000000000000014</v>
      </c>
      <c r="G11" s="194">
        <f t="shared" si="1"/>
        <v>50</v>
      </c>
      <c r="H11" s="194">
        <f t="shared" si="1"/>
        <v>41.666666666666664</v>
      </c>
      <c r="I11" s="194">
        <f t="shared" si="1"/>
        <v>10.416666666666666</v>
      </c>
      <c r="J11" s="194">
        <f t="shared" ref="J11" si="2">J10/J9</f>
        <v>37.500000000000007</v>
      </c>
    </row>
    <row r="13" spans="4:10" x14ac:dyDescent="0.25">
      <c r="D13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F40" sqref="F40"/>
    </sheetView>
  </sheetViews>
  <sheetFormatPr defaultRowHeight="15" x14ac:dyDescent="0.25"/>
  <cols>
    <col min="3" max="3" width="18.28515625" customWidth="1"/>
    <col min="4" max="4" width="14.7109375" customWidth="1"/>
    <col min="5" max="5" width="17.85546875" customWidth="1"/>
    <col min="6" max="6" width="14.5703125" customWidth="1"/>
    <col min="7" max="7" width="14.28515625" bestFit="1" customWidth="1"/>
    <col min="9" max="9" width="15" bestFit="1" customWidth="1"/>
  </cols>
  <sheetData>
    <row r="1" spans="1:10" ht="15.75" thickBot="1" x14ac:dyDescent="0.3">
      <c r="A1" s="1"/>
      <c r="B1" s="2" t="s">
        <v>0</v>
      </c>
      <c r="C1" s="2"/>
      <c r="D1" s="2"/>
      <c r="E1" s="2"/>
      <c r="F1" s="2"/>
    </row>
    <row r="2" spans="1:10" ht="38.25" x14ac:dyDescent="0.25">
      <c r="A2" s="1" t="s">
        <v>5</v>
      </c>
      <c r="B2" s="3" t="s">
        <v>1</v>
      </c>
      <c r="C2" s="4" t="s">
        <v>2</v>
      </c>
      <c r="D2" s="4" t="s">
        <v>13</v>
      </c>
      <c r="E2" s="5" t="s">
        <v>3</v>
      </c>
      <c r="F2" s="6" t="s">
        <v>4</v>
      </c>
    </row>
    <row r="3" spans="1:10" x14ac:dyDescent="0.25">
      <c r="A3" s="1"/>
      <c r="B3" s="7">
        <v>2017</v>
      </c>
      <c r="C3" s="8">
        <v>0</v>
      </c>
      <c r="D3" s="217">
        <f>IF(B3=Discounting!$D$3,-Costs!$C$38*(1-(Discounting!$D$3-Discounting!$D$2+1)/Costs!$J$3),0)</f>
        <v>0</v>
      </c>
      <c r="E3" s="9">
        <f>SUM(C3:D3)</f>
        <v>0</v>
      </c>
      <c r="F3" s="10">
        <f>E3*Discounting!C8</f>
        <v>0</v>
      </c>
      <c r="H3" t="s">
        <v>88</v>
      </c>
      <c r="J3">
        <v>50</v>
      </c>
    </row>
    <row r="4" spans="1:10" x14ac:dyDescent="0.25">
      <c r="A4" s="1"/>
      <c r="B4" s="7">
        <v>2018</v>
      </c>
      <c r="C4" s="8"/>
      <c r="D4" s="217">
        <f>IF(B4=Discounting!$D$3,-Costs!$C$38*(1-(Discounting!$D$3-Discounting!$D$2+1)/Costs!$J$3),0)</f>
        <v>0</v>
      </c>
      <c r="E4" s="9">
        <f t="shared" ref="E4:E37" si="0">SUM(C4:D4)</f>
        <v>0</v>
      </c>
      <c r="F4" s="10">
        <f>E4*Discounting!C9</f>
        <v>0</v>
      </c>
      <c r="J4" s="30"/>
    </row>
    <row r="5" spans="1:10" x14ac:dyDescent="0.25">
      <c r="A5" s="1"/>
      <c r="B5" s="11">
        <v>2019</v>
      </c>
      <c r="C5" s="9">
        <v>-191667.77656428999</v>
      </c>
      <c r="D5" s="217">
        <f>IF(B5=Discounting!$D$3,-Costs!$C$38*(1-(Discounting!$D$3-Discounting!$D$2+1)/Costs!$J$3),0)</f>
        <v>0</v>
      </c>
      <c r="E5" s="9">
        <f t="shared" si="0"/>
        <v>-191667.77656428999</v>
      </c>
      <c r="F5" s="10">
        <f>E5*Discounting!C10</f>
        <v>-167410.05901326751</v>
      </c>
      <c r="I5" s="29"/>
    </row>
    <row r="6" spans="1:10" x14ac:dyDescent="0.25">
      <c r="A6" s="1"/>
      <c r="B6" s="11">
        <v>2020</v>
      </c>
      <c r="C6" s="9">
        <v>-2348490.7828084999</v>
      </c>
      <c r="D6" s="217">
        <f>IF(B6=Discounting!$D$3,-Costs!$C$38*(1-(Discounting!$D$3-Discounting!$D$2+1)/Costs!$J$3),0)</f>
        <v>0</v>
      </c>
      <c r="E6" s="9">
        <f t="shared" si="0"/>
        <v>-2348490.7828084999</v>
      </c>
      <c r="F6" s="10">
        <f>E6*Discounting!C11</f>
        <v>-1917068.0399043132</v>
      </c>
      <c r="I6" s="29"/>
    </row>
    <row r="7" spans="1:10" x14ac:dyDescent="0.25">
      <c r="B7" s="11">
        <v>2021</v>
      </c>
      <c r="C7" s="9">
        <v>-12280044.430462699</v>
      </c>
      <c r="D7" s="217">
        <f>IF(B7=Discounting!$D$3,-Costs!$C$38*(1-(Discounting!$D$3-Discounting!$D$2+1)/Costs!$J$3),0)</f>
        <v>0</v>
      </c>
      <c r="E7" s="9">
        <f t="shared" si="0"/>
        <v>-12280044.430462699</v>
      </c>
      <c r="F7" s="10">
        <f>E7*Discounting!C12</f>
        <v>-9368387.0997308716</v>
      </c>
      <c r="I7" s="29"/>
    </row>
    <row r="8" spans="1:10" x14ac:dyDescent="0.25">
      <c r="A8" s="1">
        <v>1</v>
      </c>
      <c r="B8" s="11">
        <v>2022</v>
      </c>
      <c r="C8" s="9">
        <v>-46735168.037741899</v>
      </c>
      <c r="D8" s="217">
        <f>IF(B8=Discounting!$D$3,-Costs!$C$38*(1-(Discounting!$D$3-Discounting!$D$2+1)/Costs!$J$3),0)</f>
        <v>0</v>
      </c>
      <c r="E8" s="9">
        <f t="shared" si="0"/>
        <v>-46735168.037741899</v>
      </c>
      <c r="F8" s="10">
        <f>E8*Discounting!C13</f>
        <v>-33321528.906756848</v>
      </c>
      <c r="I8" s="29"/>
    </row>
    <row r="9" spans="1:10" x14ac:dyDescent="0.25">
      <c r="A9" s="1">
        <v>2</v>
      </c>
      <c r="B9" s="11">
        <v>2023</v>
      </c>
      <c r="C9" s="9">
        <v>-34346295.040716901</v>
      </c>
      <c r="D9" s="217">
        <f>IF(B9=Discounting!$D$3,-Costs!$C$38*(1-(Discounting!$D$3-Discounting!$D$2+1)/Costs!$J$3),0)</f>
        <v>0</v>
      </c>
      <c r="E9" s="9">
        <f t="shared" si="0"/>
        <v>-34346295.040716901</v>
      </c>
      <c r="F9" s="10">
        <f>E9*Discounting!C14</f>
        <v>-22886386.617289357</v>
      </c>
      <c r="G9" s="31"/>
      <c r="I9" s="31"/>
    </row>
    <row r="10" spans="1:10" x14ac:dyDescent="0.25">
      <c r="A10" s="1">
        <v>3</v>
      </c>
      <c r="B10" s="11">
        <v>2024</v>
      </c>
      <c r="C10" s="12"/>
      <c r="D10" s="217">
        <f>IF(B10=Discounting!$D$3,-Costs!$C$38*(1-(Discounting!$D$3-Discounting!$D$2+1)/Costs!$J$3),0)</f>
        <v>0</v>
      </c>
      <c r="E10" s="9">
        <f t="shared" si="0"/>
        <v>0</v>
      </c>
      <c r="F10" s="10">
        <f>E10*Discounting!C15</f>
        <v>0</v>
      </c>
      <c r="G10" s="31"/>
      <c r="I10" s="31"/>
    </row>
    <row r="11" spans="1:10" x14ac:dyDescent="0.25">
      <c r="A11" s="1">
        <v>4</v>
      </c>
      <c r="B11" s="11">
        <v>2025</v>
      </c>
      <c r="C11" s="12"/>
      <c r="D11" s="217">
        <f>IF(B11=Discounting!$D$3,-Costs!$C$38*(1-(Discounting!$D$3-Discounting!$D$2+1)/Costs!$J$3),0)</f>
        <v>0</v>
      </c>
      <c r="E11" s="9">
        <f t="shared" si="0"/>
        <v>0</v>
      </c>
      <c r="F11" s="10">
        <f>E11*Discounting!C16</f>
        <v>0</v>
      </c>
      <c r="G11" s="31"/>
      <c r="I11" s="31"/>
    </row>
    <row r="12" spans="1:10" x14ac:dyDescent="0.25">
      <c r="A12" s="1">
        <v>5</v>
      </c>
      <c r="B12" s="11">
        <v>2026</v>
      </c>
      <c r="C12" s="12"/>
      <c r="D12" s="217">
        <f>IF(B12=Discounting!$D$3,-Costs!$C$38*(1-(Discounting!$D$3-Discounting!$D$2+1)/Costs!$J$3),0)</f>
        <v>0</v>
      </c>
      <c r="E12" s="9">
        <f t="shared" si="0"/>
        <v>0</v>
      </c>
      <c r="F12" s="10">
        <f>E12*Discounting!C17</f>
        <v>0</v>
      </c>
      <c r="G12" s="31"/>
      <c r="I12" s="31"/>
    </row>
    <row r="13" spans="1:10" x14ac:dyDescent="0.25">
      <c r="A13" s="1">
        <v>6</v>
      </c>
      <c r="B13" s="11">
        <v>2027</v>
      </c>
      <c r="C13" s="12"/>
      <c r="D13" s="217">
        <f>IF(B13=Discounting!$D$3,-Costs!$C$38*(1-(Discounting!$D$3-Discounting!$D$2+1)/Costs!$J$3),0)</f>
        <v>0</v>
      </c>
      <c r="E13" s="9">
        <f t="shared" si="0"/>
        <v>0</v>
      </c>
      <c r="F13" s="10">
        <f>E13*Discounting!C18</f>
        <v>0</v>
      </c>
      <c r="G13" s="31"/>
      <c r="I13" s="31"/>
    </row>
    <row r="14" spans="1:10" x14ac:dyDescent="0.25">
      <c r="A14" s="1">
        <v>7</v>
      </c>
      <c r="B14" s="11">
        <v>2028</v>
      </c>
      <c r="C14" s="12"/>
      <c r="D14" s="217">
        <f>IF(B14=Discounting!$D$3,-Costs!$C$38*(1-(Discounting!$D$3-Discounting!$D$2+1)/Costs!$J$3),0)</f>
        <v>0</v>
      </c>
      <c r="E14" s="9">
        <f t="shared" si="0"/>
        <v>0</v>
      </c>
      <c r="F14" s="10">
        <f>E14*Discounting!C19</f>
        <v>0</v>
      </c>
      <c r="G14" s="31"/>
      <c r="I14" s="31"/>
    </row>
    <row r="15" spans="1:10" x14ac:dyDescent="0.25">
      <c r="A15" s="1">
        <v>8</v>
      </c>
      <c r="B15" s="11">
        <v>2029</v>
      </c>
      <c r="C15" s="12"/>
      <c r="D15" s="217">
        <f>IF(B15=Discounting!$D$3,-Costs!$C$38*(1-(Discounting!$D$3-Discounting!$D$2+1)/Costs!$J$3),0)</f>
        <v>0</v>
      </c>
      <c r="E15" s="9">
        <f t="shared" si="0"/>
        <v>0</v>
      </c>
      <c r="F15" s="10">
        <f>E15*Discounting!C20</f>
        <v>0</v>
      </c>
      <c r="G15" s="31"/>
      <c r="I15" s="31"/>
    </row>
    <row r="16" spans="1:10" x14ac:dyDescent="0.25">
      <c r="A16" s="1">
        <v>9</v>
      </c>
      <c r="B16" s="11">
        <v>2030</v>
      </c>
      <c r="C16" s="12"/>
      <c r="D16" s="217">
        <f>IF(B16=Discounting!$D$3,-Costs!$C$38*(1-(Discounting!$D$3-Discounting!$D$2+1)/Costs!$J$3),0)</f>
        <v>0</v>
      </c>
      <c r="E16" s="9">
        <f t="shared" si="0"/>
        <v>0</v>
      </c>
      <c r="F16" s="10">
        <f>E16*Discounting!C21</f>
        <v>0</v>
      </c>
      <c r="G16" s="31"/>
      <c r="I16" s="31"/>
    </row>
    <row r="17" spans="1:9" x14ac:dyDescent="0.25">
      <c r="A17" s="1">
        <v>10</v>
      </c>
      <c r="B17" s="11">
        <v>2031</v>
      </c>
      <c r="C17" s="12"/>
      <c r="D17" s="217">
        <f>IF(B17=Discounting!$D$3,-Costs!$C$38*(1-(Discounting!$D$3-Discounting!$D$2+1)/Costs!$J$3),0)</f>
        <v>0</v>
      </c>
      <c r="E17" s="9">
        <f t="shared" si="0"/>
        <v>0</v>
      </c>
      <c r="F17" s="10">
        <f>E17*Discounting!C22</f>
        <v>0</v>
      </c>
      <c r="G17" s="31"/>
      <c r="I17" s="31"/>
    </row>
    <row r="18" spans="1:9" x14ac:dyDescent="0.25">
      <c r="A18" s="1">
        <v>11</v>
      </c>
      <c r="B18" s="11">
        <v>2032</v>
      </c>
      <c r="C18" s="12"/>
      <c r="D18" s="217">
        <f>IF(B18=Discounting!$D$3,-Costs!$C$38*(1-(Discounting!$D$3-Discounting!$D$2+1)/Costs!$J$3),0)</f>
        <v>0</v>
      </c>
      <c r="E18" s="9">
        <f t="shared" si="0"/>
        <v>0</v>
      </c>
      <c r="F18" s="10">
        <f>E18*Discounting!C23</f>
        <v>0</v>
      </c>
      <c r="G18" s="31"/>
      <c r="I18" s="31"/>
    </row>
    <row r="19" spans="1:9" x14ac:dyDescent="0.25">
      <c r="A19" s="1">
        <v>12</v>
      </c>
      <c r="B19" s="11">
        <v>2033</v>
      </c>
      <c r="C19" s="12"/>
      <c r="D19" s="217">
        <f>IF(B19=Discounting!$D$3,-Costs!$C$38*(1-(Discounting!$D$3-Discounting!$D$2+1)/Costs!$J$3),0)</f>
        <v>0</v>
      </c>
      <c r="E19" s="9">
        <f t="shared" si="0"/>
        <v>0</v>
      </c>
      <c r="F19" s="10">
        <f>E19*Discounting!C24</f>
        <v>0</v>
      </c>
      <c r="G19" s="31"/>
      <c r="I19" s="31"/>
    </row>
    <row r="20" spans="1:9" x14ac:dyDescent="0.25">
      <c r="A20" s="1">
        <v>13</v>
      </c>
      <c r="B20" s="11">
        <v>2034</v>
      </c>
      <c r="C20" s="12"/>
      <c r="D20" s="217">
        <f>IF(B20=Discounting!$D$3,-Costs!$C$38*(1-(Discounting!$D$3-Discounting!$D$2+1)/Costs!$J$3),0)</f>
        <v>0</v>
      </c>
      <c r="E20" s="9">
        <f t="shared" si="0"/>
        <v>0</v>
      </c>
      <c r="F20" s="10">
        <f>E20*Discounting!C25</f>
        <v>0</v>
      </c>
      <c r="G20" s="31"/>
      <c r="I20" s="31"/>
    </row>
    <row r="21" spans="1:9" x14ac:dyDescent="0.25">
      <c r="A21" s="1">
        <v>14</v>
      </c>
      <c r="B21" s="11">
        <v>2035</v>
      </c>
      <c r="C21" s="12"/>
      <c r="D21" s="217">
        <f>IF(B21=Discounting!$D$3,-Costs!$C$38*(1-(Discounting!$D$3-Discounting!$D$2+1)/Costs!$J$3),0)</f>
        <v>0</v>
      </c>
      <c r="E21" s="9">
        <f t="shared" si="0"/>
        <v>0</v>
      </c>
      <c r="F21" s="10">
        <f>E21*Discounting!C26</f>
        <v>0</v>
      </c>
      <c r="G21" s="31"/>
      <c r="I21" s="31"/>
    </row>
    <row r="22" spans="1:9" x14ac:dyDescent="0.25">
      <c r="A22" s="1">
        <v>15</v>
      </c>
      <c r="B22" s="11">
        <v>2036</v>
      </c>
      <c r="C22" s="12"/>
      <c r="D22" s="217">
        <f>IF(B22=Discounting!$D$3,-Costs!$C$38*(1-(Discounting!$D$3-Discounting!$D$2+1)/Costs!$J$3),0)</f>
        <v>0</v>
      </c>
      <c r="E22" s="9">
        <f t="shared" si="0"/>
        <v>0</v>
      </c>
      <c r="F22" s="10">
        <f>E22*Discounting!C27</f>
        <v>0</v>
      </c>
      <c r="G22" s="31"/>
      <c r="I22" s="31"/>
    </row>
    <row r="23" spans="1:9" x14ac:dyDescent="0.25">
      <c r="A23" s="1">
        <v>16</v>
      </c>
      <c r="B23" s="11">
        <v>2037</v>
      </c>
      <c r="C23" s="12"/>
      <c r="D23" s="217">
        <f>IF(B23=Discounting!$D$3,-Costs!$C$38*(1-(Discounting!$D$3-Discounting!$D$2+1)/Costs!$J$3),0)</f>
        <v>0</v>
      </c>
      <c r="E23" s="9">
        <f t="shared" si="0"/>
        <v>0</v>
      </c>
      <c r="F23" s="10">
        <f>E23*Discounting!C28</f>
        <v>0</v>
      </c>
      <c r="G23" s="31"/>
      <c r="I23" s="31"/>
    </row>
    <row r="24" spans="1:9" x14ac:dyDescent="0.25">
      <c r="A24" s="1">
        <v>17</v>
      </c>
      <c r="B24" s="11">
        <v>2038</v>
      </c>
      <c r="C24" s="12"/>
      <c r="D24" s="217">
        <f>IF(B24=Discounting!$D$3,-Costs!$C$38*(1-(Discounting!$D$3-Discounting!$D$2+1)/Costs!$J$3),0)</f>
        <v>0</v>
      </c>
      <c r="E24" s="9">
        <f t="shared" si="0"/>
        <v>0</v>
      </c>
      <c r="F24" s="10">
        <f>E24*Discounting!C29</f>
        <v>0</v>
      </c>
      <c r="G24" s="31"/>
      <c r="I24" s="31"/>
    </row>
    <row r="25" spans="1:9" x14ac:dyDescent="0.25">
      <c r="A25" s="1">
        <v>18</v>
      </c>
      <c r="B25" s="11">
        <v>2039</v>
      </c>
      <c r="C25" s="12"/>
      <c r="D25" s="217">
        <f>IF(B25=Discounting!$D$3,-Costs!$C$38*(1-(Discounting!$D$3-Discounting!$D$2+1)/Costs!$J$3),0)</f>
        <v>0</v>
      </c>
      <c r="E25" s="9">
        <f t="shared" si="0"/>
        <v>0</v>
      </c>
      <c r="F25" s="10">
        <f>E25*Discounting!C30</f>
        <v>0</v>
      </c>
      <c r="G25" s="31"/>
      <c r="I25" s="31"/>
    </row>
    <row r="26" spans="1:9" x14ac:dyDescent="0.25">
      <c r="A26" s="1">
        <v>19</v>
      </c>
      <c r="B26" s="11">
        <v>2040</v>
      </c>
      <c r="C26" s="13"/>
      <c r="D26" s="217">
        <f>IF(B26=Discounting!$D$3,-Costs!$C$38*(1-(Discounting!$D$3-Discounting!$D$2+1)/Costs!$J$3),0)</f>
        <v>0</v>
      </c>
      <c r="E26" s="9">
        <f t="shared" si="0"/>
        <v>0</v>
      </c>
      <c r="F26" s="10">
        <f>E26*Discounting!C31</f>
        <v>0</v>
      </c>
      <c r="G26" s="31"/>
      <c r="I26" s="31"/>
    </row>
    <row r="27" spans="1:9" x14ac:dyDescent="0.25">
      <c r="A27" s="1">
        <v>20</v>
      </c>
      <c r="B27" s="11">
        <v>2041</v>
      </c>
      <c r="C27" s="13"/>
      <c r="D27" s="217">
        <f>IF(B27=Discounting!$D$3,-Costs!$C$38*(1-(Discounting!$D$3-Discounting!$D$2+1)/Costs!$J$3),0)</f>
        <v>0</v>
      </c>
      <c r="E27" s="9">
        <f t="shared" si="0"/>
        <v>0</v>
      </c>
      <c r="F27" s="10">
        <f>E27*Discounting!C32</f>
        <v>0</v>
      </c>
      <c r="G27" s="31"/>
      <c r="I27" s="31"/>
    </row>
    <row r="28" spans="1:9" x14ac:dyDescent="0.25">
      <c r="A28" s="1">
        <v>21</v>
      </c>
      <c r="B28" s="11">
        <v>2042</v>
      </c>
      <c r="C28" s="13"/>
      <c r="D28" s="217">
        <f>IF(B28=Discounting!$D$3,-Costs!$C$38*(1-(Discounting!$D$3-Discounting!$D$2+1)/Costs!$J$3),0)</f>
        <v>0</v>
      </c>
      <c r="E28" s="9">
        <f t="shared" si="0"/>
        <v>0</v>
      </c>
      <c r="F28" s="10">
        <f>E28*Discounting!C33</f>
        <v>0</v>
      </c>
      <c r="G28" s="31"/>
      <c r="I28" s="31"/>
    </row>
    <row r="29" spans="1:9" x14ac:dyDescent="0.25">
      <c r="A29" s="1">
        <v>22</v>
      </c>
      <c r="B29" s="11">
        <v>2043</v>
      </c>
      <c r="C29" s="13"/>
      <c r="D29" s="217">
        <f>IF(B29=Discounting!$D$3,-Costs!$C$38*(1-(Discounting!$D$3-Discounting!$D$2+1)/Costs!$J$3),0)</f>
        <v>0</v>
      </c>
      <c r="E29" s="9">
        <f t="shared" si="0"/>
        <v>0</v>
      </c>
      <c r="F29" s="10">
        <f>E29*Discounting!C34</f>
        <v>0</v>
      </c>
      <c r="G29" s="31"/>
      <c r="I29" s="31"/>
    </row>
    <row r="30" spans="1:9" x14ac:dyDescent="0.25">
      <c r="A30" s="1">
        <v>23</v>
      </c>
      <c r="B30" s="11">
        <v>2044</v>
      </c>
      <c r="C30" s="13"/>
      <c r="D30" s="217">
        <f>IF(B30=Discounting!$D$3,-Costs!$C$38*(1-(Discounting!$D$3-Discounting!$D$2+1)/Costs!$J$3),0)</f>
        <v>0</v>
      </c>
      <c r="E30" s="9">
        <f t="shared" si="0"/>
        <v>0</v>
      </c>
      <c r="F30" s="10">
        <f>E30*Discounting!C35</f>
        <v>0</v>
      </c>
      <c r="G30" s="31"/>
      <c r="I30" s="31"/>
    </row>
    <row r="31" spans="1:9" x14ac:dyDescent="0.25">
      <c r="A31" s="1">
        <v>24</v>
      </c>
      <c r="B31" s="11">
        <v>2045</v>
      </c>
      <c r="C31" s="13"/>
      <c r="D31" s="217">
        <f>IF(B31=Discounting!$D$3,-Costs!$C$38*(1-(Discounting!$D$3-Discounting!$D$2+1)/Costs!$J$3),0)</f>
        <v>0</v>
      </c>
      <c r="E31" s="9">
        <f t="shared" si="0"/>
        <v>0</v>
      </c>
      <c r="F31" s="10">
        <f>E31*Discounting!C36</f>
        <v>0</v>
      </c>
      <c r="G31" s="31"/>
      <c r="I31" s="31"/>
    </row>
    <row r="32" spans="1:9" x14ac:dyDescent="0.25">
      <c r="A32" s="1">
        <v>25</v>
      </c>
      <c r="B32" s="11">
        <v>2046</v>
      </c>
      <c r="C32" s="16"/>
      <c r="D32" s="217">
        <f>IF(B32=Discounting!$D$3,-Costs!$C$38*(1-(Discounting!$D$3-Discounting!$D$2+1)/Costs!$J$3),0)</f>
        <v>0</v>
      </c>
      <c r="E32" s="9">
        <f t="shared" si="0"/>
        <v>0</v>
      </c>
      <c r="F32" s="10">
        <f>E32*Discounting!C37</f>
        <v>0</v>
      </c>
      <c r="G32" s="31"/>
      <c r="I32" s="31"/>
    </row>
    <row r="33" spans="1:9" x14ac:dyDescent="0.25">
      <c r="A33" s="1">
        <v>26</v>
      </c>
      <c r="B33" s="11">
        <v>2047</v>
      </c>
      <c r="C33" s="16"/>
      <c r="D33" s="217">
        <f>IF(B33=Discounting!$D$3,-Costs!$C$38*(1-(Discounting!$D$3-Discounting!$D$2+1)/Costs!$J$3),0)</f>
        <v>49868866.355513029</v>
      </c>
      <c r="E33" s="9">
        <f t="shared" si="0"/>
        <v>49868866.355513029</v>
      </c>
      <c r="F33" s="10">
        <f>E33*Discounting!C38</f>
        <v>6551129.2088912623</v>
      </c>
      <c r="G33" s="31"/>
      <c r="I33" s="31"/>
    </row>
    <row r="34" spans="1:9" x14ac:dyDescent="0.25">
      <c r="A34" s="1">
        <v>27</v>
      </c>
      <c r="B34" s="11">
        <v>2048</v>
      </c>
      <c r="C34" s="16"/>
      <c r="D34" s="217">
        <f>IF(B34=Discounting!$D$3,-Costs!$C$38*(1-(Discounting!$D$3-Discounting!$D$2+1)/Costs!$J$3),0)</f>
        <v>0</v>
      </c>
      <c r="E34" s="9">
        <f t="shared" si="0"/>
        <v>0</v>
      </c>
      <c r="F34" s="10">
        <f>E34*Discounting!C39</f>
        <v>0</v>
      </c>
      <c r="G34" s="31"/>
      <c r="I34" s="31"/>
    </row>
    <row r="35" spans="1:9" x14ac:dyDescent="0.25">
      <c r="A35" s="1">
        <v>28</v>
      </c>
      <c r="B35" s="11">
        <v>2049</v>
      </c>
      <c r="C35" s="16"/>
      <c r="D35" s="217">
        <f>IF(B35=Discounting!$D$3,-Costs!$C$38*(1-(Discounting!$D$3-Discounting!$D$2+1)/Costs!$J$3),0)</f>
        <v>0</v>
      </c>
      <c r="E35" s="9">
        <f t="shared" si="0"/>
        <v>0</v>
      </c>
      <c r="F35" s="10">
        <f>E35*Discounting!C40</f>
        <v>0</v>
      </c>
      <c r="G35" s="31"/>
      <c r="I35" s="31"/>
    </row>
    <row r="36" spans="1:9" x14ac:dyDescent="0.25">
      <c r="A36" s="1">
        <v>29</v>
      </c>
      <c r="B36" s="11">
        <v>2050</v>
      </c>
      <c r="C36" s="16"/>
      <c r="D36" s="217">
        <f>IF(B36=Discounting!$D$3,-Costs!$C$38*(1-(Discounting!$D$3-Discounting!$D$2+1)/Costs!$J$3),0)</f>
        <v>0</v>
      </c>
      <c r="E36" s="9">
        <f t="shared" si="0"/>
        <v>0</v>
      </c>
      <c r="F36" s="10">
        <f>E36*Discounting!C41</f>
        <v>0</v>
      </c>
      <c r="G36" s="31"/>
      <c r="I36" s="31"/>
    </row>
    <row r="37" spans="1:9" x14ac:dyDescent="0.25">
      <c r="A37" s="1">
        <v>30</v>
      </c>
      <c r="B37" s="11">
        <v>2051</v>
      </c>
      <c r="C37" s="16"/>
      <c r="D37" s="217">
        <f>IF(B37=Discounting!$D$3,-Costs!$C$38*(1-(Discounting!$D$3-Discounting!$D$2+1)/Costs!$J$3),0)</f>
        <v>0</v>
      </c>
      <c r="E37" s="9">
        <f t="shared" si="0"/>
        <v>0</v>
      </c>
      <c r="F37" s="10">
        <f>E37*Discounting!C42</f>
        <v>0</v>
      </c>
      <c r="G37" s="31"/>
      <c r="I37" s="31"/>
    </row>
    <row r="38" spans="1:9" ht="15.75" thickBot="1" x14ac:dyDescent="0.3">
      <c r="A38" s="1"/>
      <c r="B38" s="14"/>
      <c r="C38" s="15">
        <f>SUM(C3:C37)</f>
        <v>-95901666.068294287</v>
      </c>
      <c r="D38" s="15"/>
      <c r="E38" s="15">
        <f>SUM(E3:E37)</f>
        <v>-46032799.712781258</v>
      </c>
      <c r="F38" s="15">
        <f>SUM(F3:F37)</f>
        <v>-61109651.5138034</v>
      </c>
      <c r="G38" s="31"/>
      <c r="I38" s="31"/>
    </row>
    <row r="40" spans="1:9" x14ac:dyDescent="0.25">
      <c r="C40" s="22"/>
      <c r="F40" s="2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N5" sqref="N5:V41"/>
    </sheetView>
  </sheetViews>
  <sheetFormatPr defaultRowHeight="15" x14ac:dyDescent="0.25"/>
  <cols>
    <col min="2" max="2" width="11.85546875" customWidth="1"/>
    <col min="3" max="3" width="13.5703125" style="20" customWidth="1"/>
    <col min="4" max="4" width="11.140625" bestFit="1" customWidth="1"/>
    <col min="5" max="5" width="2.85546875" customWidth="1"/>
    <col min="6" max="7" width="18.7109375" customWidth="1"/>
    <col min="8" max="8" width="2.85546875" customWidth="1"/>
    <col min="9" max="9" width="18.5703125" customWidth="1"/>
    <col min="10" max="10" width="2.85546875" customWidth="1"/>
    <col min="11" max="11" width="17.5703125" customWidth="1"/>
    <col min="12" max="12" width="13.5703125" customWidth="1"/>
    <col min="14" max="14" width="12.7109375" bestFit="1" customWidth="1"/>
    <col min="16" max="17" width="11.140625" bestFit="1" customWidth="1"/>
    <col min="18" max="18" width="12.28515625" bestFit="1" customWidth="1"/>
    <col min="20" max="20" width="9.7109375" bestFit="1" customWidth="1"/>
  </cols>
  <sheetData>
    <row r="1" spans="1:20" x14ac:dyDescent="0.25">
      <c r="C1" s="198" t="s">
        <v>7</v>
      </c>
      <c r="D1" s="21"/>
      <c r="F1" t="s">
        <v>89</v>
      </c>
      <c r="I1" t="s">
        <v>219</v>
      </c>
      <c r="K1" t="s">
        <v>12</v>
      </c>
      <c r="L1" t="s">
        <v>8</v>
      </c>
    </row>
    <row r="2" spans="1:20" ht="30" x14ac:dyDescent="0.25">
      <c r="B2" s="19" t="s">
        <v>6</v>
      </c>
      <c r="C2" s="20" t="s">
        <v>15</v>
      </c>
      <c r="D2" s="18"/>
      <c r="F2" t="s">
        <v>90</v>
      </c>
      <c r="I2" t="s">
        <v>220</v>
      </c>
      <c r="K2" t="s">
        <v>11</v>
      </c>
      <c r="L2" t="s">
        <v>11</v>
      </c>
    </row>
    <row r="3" spans="1:20" x14ac:dyDescent="0.25">
      <c r="B3" s="19"/>
      <c r="D3" s="18"/>
    </row>
    <row r="4" spans="1:20" x14ac:dyDescent="0.25">
      <c r="B4" s="19"/>
      <c r="D4" s="18"/>
    </row>
    <row r="5" spans="1:20" x14ac:dyDescent="0.25">
      <c r="A5" s="17">
        <v>2017</v>
      </c>
      <c r="B5" s="18">
        <f>'VMT Build'!AC9</f>
        <v>0</v>
      </c>
      <c r="C5" s="20">
        <f>'VMT No Build'!AE12</f>
        <v>0</v>
      </c>
      <c r="D5" s="18">
        <f>C5*InpC!$D$6*Discounting!D8</f>
        <v>0</v>
      </c>
      <c r="F5" s="29">
        <f>'VMT Build'!AF9</f>
        <v>0</v>
      </c>
      <c r="G5" s="18">
        <f>InpC!$D$7*InpC!$D$6*'Operating Benefits'!F5*Discounting!D8</f>
        <v>0</v>
      </c>
      <c r="I5" s="18">
        <f>300000*Discounting!D8</f>
        <v>0</v>
      </c>
      <c r="K5" s="18">
        <f>B5+D5+G5+I5</f>
        <v>0</v>
      </c>
      <c r="L5" s="23">
        <f>K5*Discounting!C8</f>
        <v>0</v>
      </c>
      <c r="N5" s="27"/>
    </row>
    <row r="6" spans="1:20" x14ac:dyDescent="0.25">
      <c r="A6" s="17">
        <f>1+A5</f>
        <v>2018</v>
      </c>
      <c r="B6" s="18">
        <f>'VMT Build'!AC10</f>
        <v>0</v>
      </c>
      <c r="C6" s="20">
        <f>'VMT No Build'!AE13</f>
        <v>0</v>
      </c>
      <c r="D6" s="18">
        <f>C6*InpC!$D$6*Discounting!D9</f>
        <v>0</v>
      </c>
      <c r="F6" s="29">
        <f>'VMT Build'!AF10</f>
        <v>0</v>
      </c>
      <c r="G6" s="18">
        <f>InpC!$D$7*InpC!$D$6*'Operating Benefits'!F6*Discounting!D9</f>
        <v>0</v>
      </c>
      <c r="I6" s="18">
        <f>300000*Discounting!D9</f>
        <v>0</v>
      </c>
      <c r="K6" s="18">
        <f t="shared" ref="K6:K39" si="0">B6+D6+G6+I6</f>
        <v>0</v>
      </c>
      <c r="L6" s="23">
        <f>K6*Discounting!C9</f>
        <v>0</v>
      </c>
      <c r="N6" s="27"/>
    </row>
    <row r="7" spans="1:20" x14ac:dyDescent="0.25">
      <c r="A7" s="17">
        <f t="shared" ref="A7:A39" si="1">1+A6</f>
        <v>2019</v>
      </c>
      <c r="B7" s="18">
        <f>'VMT Build'!AC11</f>
        <v>0</v>
      </c>
      <c r="C7" s="20">
        <f>'VMT No Build'!AE14</f>
        <v>0</v>
      </c>
      <c r="D7" s="18">
        <f>C7*InpC!$D$6*Discounting!D10</f>
        <v>0</v>
      </c>
      <c r="F7" s="29">
        <f>'VMT Build'!AF11</f>
        <v>0</v>
      </c>
      <c r="G7" s="18">
        <f>InpC!$D$7*InpC!$D$6*'Operating Benefits'!F7*Discounting!D10</f>
        <v>0</v>
      </c>
      <c r="I7" s="18">
        <f>300000*Discounting!D10</f>
        <v>0</v>
      </c>
      <c r="K7" s="18">
        <f t="shared" si="0"/>
        <v>0</v>
      </c>
      <c r="L7" s="23">
        <f>K7*Discounting!C10</f>
        <v>0</v>
      </c>
      <c r="N7" s="27"/>
    </row>
    <row r="8" spans="1:20" x14ac:dyDescent="0.25">
      <c r="A8" s="17">
        <f t="shared" si="1"/>
        <v>2020</v>
      </c>
      <c r="B8" s="18">
        <f>'VMT Build'!AC12</f>
        <v>0</v>
      </c>
      <c r="C8" s="20">
        <f>'VMT No Build'!AE15</f>
        <v>0</v>
      </c>
      <c r="D8" s="18">
        <f>C8*InpC!$D$6*Discounting!D11</f>
        <v>0</v>
      </c>
      <c r="F8" s="29">
        <f>'VMT Build'!AF12</f>
        <v>0</v>
      </c>
      <c r="G8" s="18">
        <f>InpC!$D$7*InpC!$D$6*'Operating Benefits'!F8*Discounting!D11</f>
        <v>0</v>
      </c>
      <c r="I8" s="18">
        <f>300000*Discounting!D11</f>
        <v>0</v>
      </c>
      <c r="K8" s="18">
        <f t="shared" si="0"/>
        <v>0</v>
      </c>
      <c r="L8" s="23">
        <f>K8*Discounting!C11</f>
        <v>0</v>
      </c>
      <c r="N8" s="27"/>
    </row>
    <row r="9" spans="1:20" x14ac:dyDescent="0.25">
      <c r="A9" s="17">
        <f t="shared" si="1"/>
        <v>2021</v>
      </c>
      <c r="B9" s="18">
        <f>'VMT Build'!AC13</f>
        <v>0</v>
      </c>
      <c r="C9" s="20">
        <f>'VMT No Build'!AE16</f>
        <v>0</v>
      </c>
      <c r="D9" s="18">
        <f>C9*InpC!$D$6*Discounting!D12</f>
        <v>0</v>
      </c>
      <c r="F9" s="29">
        <f>'VMT Build'!AF13</f>
        <v>0</v>
      </c>
      <c r="G9" s="18">
        <f>InpC!$D$7*InpC!$D$6*'Operating Benefits'!F9*Discounting!D12</f>
        <v>0</v>
      </c>
      <c r="I9" s="18">
        <f>300000*Discounting!D12</f>
        <v>0</v>
      </c>
      <c r="K9" s="18">
        <f t="shared" si="0"/>
        <v>0</v>
      </c>
      <c r="L9" s="23">
        <f>K9*Discounting!C12</f>
        <v>0</v>
      </c>
      <c r="N9" s="27"/>
    </row>
    <row r="10" spans="1:20" x14ac:dyDescent="0.25">
      <c r="A10" s="17">
        <f t="shared" si="1"/>
        <v>2022</v>
      </c>
      <c r="B10" s="18">
        <f>'VMT Build'!AC14</f>
        <v>0</v>
      </c>
      <c r="C10" s="20">
        <f>'VMT No Build'!AE17</f>
        <v>0</v>
      </c>
      <c r="D10" s="18">
        <f>C10*InpC!$D$6*Discounting!D13</f>
        <v>0</v>
      </c>
      <c r="F10" s="29">
        <f>'VMT Build'!AF14</f>
        <v>0</v>
      </c>
      <c r="G10" s="18">
        <f>InpC!$D$7*InpC!$D$6*'Operating Benefits'!F10*Discounting!D13</f>
        <v>0</v>
      </c>
      <c r="I10" s="18">
        <f>300000*Discounting!D13</f>
        <v>0</v>
      </c>
      <c r="K10" s="18">
        <f t="shared" si="0"/>
        <v>0</v>
      </c>
      <c r="L10" s="23">
        <f>K10*Discounting!C13</f>
        <v>0</v>
      </c>
      <c r="N10" s="27"/>
      <c r="O10" s="18"/>
      <c r="P10" s="20"/>
      <c r="Q10" s="18"/>
    </row>
    <row r="11" spans="1:20" x14ac:dyDescent="0.25">
      <c r="A11" s="17">
        <f t="shared" si="1"/>
        <v>2023</v>
      </c>
      <c r="B11" s="18">
        <f>'VMT Build'!AC15</f>
        <v>0</v>
      </c>
      <c r="C11" s="20">
        <f>'VMT No Build'!AE18</f>
        <v>0</v>
      </c>
      <c r="D11" s="18">
        <f>C11*InpC!$D$6*Discounting!D14</f>
        <v>0</v>
      </c>
      <c r="F11" s="29">
        <f>'VMT Build'!AF15</f>
        <v>-3.3838484909127402</v>
      </c>
      <c r="G11" s="18">
        <f>InpC!$D$7*InpC!$D$6*'Operating Benefits'!F11*Discounting!D14</f>
        <v>0</v>
      </c>
      <c r="I11" s="18">
        <f>300000*Discounting!D14</f>
        <v>0</v>
      </c>
      <c r="K11" s="18">
        <f t="shared" si="0"/>
        <v>0</v>
      </c>
      <c r="L11" s="23">
        <f>K11*Discounting!C14</f>
        <v>0</v>
      </c>
      <c r="N11" s="27"/>
      <c r="P11" s="20"/>
      <c r="Q11" s="18"/>
    </row>
    <row r="12" spans="1:20" x14ac:dyDescent="0.25">
      <c r="A12" s="17">
        <f t="shared" si="1"/>
        <v>2024</v>
      </c>
      <c r="B12" s="18">
        <f>'VMT Build'!AC16</f>
        <v>3605142.3284994056</v>
      </c>
      <c r="C12" s="20">
        <f>'VMT No Build'!AE19</f>
        <v>1554.5871559633017</v>
      </c>
      <c r="D12" s="18">
        <f>C12*InpC!$D$6*Discounting!D15</f>
        <v>1090665.3913761461</v>
      </c>
      <c r="F12" s="29">
        <f>'VMT Build'!AF16</f>
        <v>62.116717303109127</v>
      </c>
      <c r="G12" s="18">
        <f>InpC!$D$7*InpC!$D$6*'Operating Benefits'!F12*Discounting!D15</f>
        <v>43579.771985454536</v>
      </c>
      <c r="I12" s="18">
        <f>300000*Discounting!D15</f>
        <v>300000</v>
      </c>
      <c r="K12" s="18">
        <f t="shared" si="0"/>
        <v>5039387.4918610062</v>
      </c>
      <c r="L12" s="23">
        <f>K12*Discounting!C15</f>
        <v>3138277.2598128784</v>
      </c>
      <c r="N12" s="27"/>
      <c r="P12" s="18"/>
      <c r="Q12" s="20"/>
      <c r="R12" s="27"/>
      <c r="T12" s="18"/>
    </row>
    <row r="13" spans="1:20" x14ac:dyDescent="0.25">
      <c r="A13" s="17">
        <f t="shared" si="1"/>
        <v>2025</v>
      </c>
      <c r="B13" s="18">
        <f>'VMT Build'!AC17</f>
        <v>3426906.1878717835</v>
      </c>
      <c r="C13" s="20">
        <f>'VMT No Build'!AE20</f>
        <v>1533.8709239499331</v>
      </c>
      <c r="D13" s="18">
        <f>C13*InpC!$D$6*Discounting!D16</f>
        <v>1076131.3221796853</v>
      </c>
      <c r="F13" s="29">
        <f>'VMT Build'!AF17</f>
        <v>62.716464787963673</v>
      </c>
      <c r="G13" s="18">
        <f>InpC!$D$7*InpC!$D$6*'Operating Benefits'!F13*Discounting!D16</f>
        <v>44000.542106181805</v>
      </c>
      <c r="I13" s="18">
        <f>300000*Discounting!D16</f>
        <v>300000</v>
      </c>
      <c r="K13" s="18">
        <f t="shared" si="0"/>
        <v>4847038.0521576498</v>
      </c>
      <c r="L13" s="23">
        <f>K13*Discounting!C16</f>
        <v>2821020.2765289415</v>
      </c>
      <c r="N13" s="27"/>
      <c r="P13" s="18"/>
      <c r="Q13" s="20"/>
      <c r="R13" s="27"/>
      <c r="T13" s="18"/>
    </row>
    <row r="14" spans="1:20" x14ac:dyDescent="0.25">
      <c r="A14" s="17">
        <f t="shared" si="1"/>
        <v>2026</v>
      </c>
      <c r="B14" s="18">
        <f>'VMT Build'!AC18</f>
        <v>3369299.9242579448</v>
      </c>
      <c r="C14" s="20">
        <f>'VMT No Build'!AE21</f>
        <v>1500.2419042171157</v>
      </c>
      <c r="D14" s="18">
        <f>C14*InpC!$D$6*Discounting!D17</f>
        <v>1052537.914870359</v>
      </c>
      <c r="F14" s="29">
        <f>'VMT Build'!AF18</f>
        <v>60.361664787963669</v>
      </c>
      <c r="G14" s="18">
        <f>InpC!$D$7*InpC!$D$6*'Operating Benefits'!F14*Discounting!D17</f>
        <v>42348.464347941808</v>
      </c>
      <c r="I14" s="18">
        <f>300000*Discounting!D17</f>
        <v>300000</v>
      </c>
      <c r="K14" s="18">
        <f t="shared" si="0"/>
        <v>4764186.3034762461</v>
      </c>
      <c r="L14" s="23">
        <f>K14*Discounting!C17</f>
        <v>2591401.6864179722</v>
      </c>
      <c r="N14" s="27"/>
      <c r="P14" s="18"/>
      <c r="Q14" s="20"/>
      <c r="R14" s="27"/>
      <c r="T14" s="18"/>
    </row>
    <row r="15" spans="1:20" x14ac:dyDescent="0.25">
      <c r="A15" s="17">
        <f t="shared" si="1"/>
        <v>2027</v>
      </c>
      <c r="B15" s="18">
        <f>'VMT Build'!AC19</f>
        <v>3308649.417847035</v>
      </c>
      <c r="C15" s="20">
        <f>'VMT No Build'!AE22</f>
        <v>1464.8357357044285</v>
      </c>
      <c r="D15" s="18">
        <f>C15*InpC!$D$6*Discounting!D18</f>
        <v>1027697.6976526302</v>
      </c>
      <c r="F15" s="29">
        <f>'VMT Build'!AF19</f>
        <v>57.665418787963674</v>
      </c>
      <c r="G15" s="18">
        <f>InpC!$D$7*InpC!$D$6*'Operating Benefits'!F15*Discounting!D18</f>
        <v>40456.835314757009</v>
      </c>
      <c r="I15" s="18">
        <f>300000*Discounting!D18</f>
        <v>300000</v>
      </c>
      <c r="K15" s="18">
        <f t="shared" si="0"/>
        <v>4676803.9508144222</v>
      </c>
      <c r="L15" s="23">
        <f>K15*Discounting!C18</f>
        <v>2377449.9778493629</v>
      </c>
      <c r="N15" s="27"/>
      <c r="P15" s="18"/>
      <c r="Q15" s="20"/>
      <c r="R15" s="27"/>
      <c r="T15" s="18"/>
    </row>
    <row r="16" spans="1:20" x14ac:dyDescent="0.25">
      <c r="A16" s="17">
        <f t="shared" si="1"/>
        <v>2028</v>
      </c>
      <c r="B16" s="18">
        <f>'VMT Build'!AC20</f>
        <v>3244952.3745008865</v>
      </c>
      <c r="C16" s="20">
        <f>'VMT No Build'!AE23</f>
        <v>1427.6510791544224</v>
      </c>
      <c r="D16" s="18">
        <f>C16*InpC!$D$6*Discounting!D19</f>
        <v>1001609.7309318647</v>
      </c>
      <c r="F16" s="29">
        <v>37.034581306937788</v>
      </c>
      <c r="G16" s="18">
        <f>InpC!$D$7*InpC!$D$6*'Operating Benefits'!F16*Discounting!D19</f>
        <v>25982.677111823847</v>
      </c>
      <c r="I16" s="18">
        <f>300000*Discounting!D19</f>
        <v>300000</v>
      </c>
      <c r="K16" s="18">
        <f t="shared" si="0"/>
        <v>4572544.7825445756</v>
      </c>
      <c r="L16" s="23">
        <f>K16*Discounting!C19</f>
        <v>2172383.087346572</v>
      </c>
      <c r="N16" s="27"/>
      <c r="P16" s="18"/>
      <c r="Q16" s="20"/>
      <c r="R16" s="27"/>
      <c r="T16" s="18"/>
    </row>
    <row r="17" spans="1:20" x14ac:dyDescent="0.25">
      <c r="A17" s="17">
        <f t="shared" si="1"/>
        <v>2029</v>
      </c>
      <c r="B17" s="18">
        <f>'VMT Build'!AC21</f>
        <v>3178230.2198785334</v>
      </c>
      <c r="C17" s="20">
        <f>'VMT No Build'!AE24</f>
        <v>1388.7004423026306</v>
      </c>
      <c r="D17" s="18">
        <f>C17*InpC!$D$6*Discounting!D20</f>
        <v>974282.78987014876</v>
      </c>
      <c r="F17" s="29">
        <v>35.474263143947674</v>
      </c>
      <c r="G17" s="18">
        <f>InpC!$D$7*InpC!$D$6*'Operating Benefits'!F17*Discounting!D20</f>
        <v>24887.990967415037</v>
      </c>
      <c r="I17" s="18">
        <f>300000*Discounting!D20</f>
        <v>300000</v>
      </c>
      <c r="K17" s="18">
        <f t="shared" si="0"/>
        <v>4477401.0007160977</v>
      </c>
      <c r="L17" s="23">
        <f>K17*Discounting!C20</f>
        <v>1988019.5906343833</v>
      </c>
      <c r="N17" s="27"/>
      <c r="P17" s="18"/>
      <c r="Q17" s="20"/>
      <c r="R17" s="27"/>
      <c r="T17" s="18"/>
    </row>
    <row r="18" spans="1:20" x14ac:dyDescent="0.25">
      <c r="A18" s="17">
        <f t="shared" si="1"/>
        <v>2030</v>
      </c>
      <c r="B18" s="18">
        <f>'VMT Build'!AC22</f>
        <v>3108530.1824522447</v>
      </c>
      <c r="C18" s="20">
        <f>'VMT No Build'!AE25</f>
        <v>1348.0113958874822</v>
      </c>
      <c r="D18" s="18">
        <f>C18*InpC!$D$6*Discounting!D21</f>
        <v>945736.21751306474</v>
      </c>
      <c r="F18" s="29">
        <v>33.835929072808057</v>
      </c>
      <c r="G18" s="18">
        <f>InpC!$D$7*InpC!$D$6*'Operating Benefits'!F18*Discounting!D21</f>
        <v>23738.570515785788</v>
      </c>
      <c r="I18" s="18">
        <f>300000*Discounting!D21</f>
        <v>300000</v>
      </c>
      <c r="K18" s="18">
        <f t="shared" si="0"/>
        <v>4378004.9704810958</v>
      </c>
      <c r="L18" s="23">
        <f>K18*Discounting!C21</f>
        <v>1816716.4154289612</v>
      </c>
      <c r="N18" s="27"/>
      <c r="P18" s="18"/>
      <c r="Q18" s="20"/>
      <c r="R18" s="27"/>
      <c r="T18" s="18"/>
    </row>
    <row r="19" spans="1:20" x14ac:dyDescent="0.25">
      <c r="A19" s="17">
        <f t="shared" si="1"/>
        <v>2031</v>
      </c>
      <c r="B19" s="18">
        <f>'VMT Build'!AC23</f>
        <v>3035927.0795245129</v>
      </c>
      <c r="C19" s="20">
        <f>'VMT No Build'!AE26</f>
        <v>1305.6276162799829</v>
      </c>
      <c r="D19" s="18">
        <f>C19*InpC!$D$6*Discounting!D22</f>
        <v>916000.65627657087</v>
      </c>
      <c r="F19" s="29">
        <v>33.835929072808057</v>
      </c>
      <c r="G19" s="18">
        <f>InpC!$D$7*InpC!$D$6*'Operating Benefits'!F19*Discounting!D22</f>
        <v>23738.570515785788</v>
      </c>
      <c r="I19" s="18">
        <f>300000*Discounting!D22</f>
        <v>300000</v>
      </c>
      <c r="K19" s="18">
        <f t="shared" si="0"/>
        <v>4275666.3063168693</v>
      </c>
      <c r="L19" s="23">
        <f>K19*Discounting!C22</f>
        <v>1658177.1104265447</v>
      </c>
      <c r="N19" s="27"/>
      <c r="P19" s="18"/>
      <c r="Q19" s="20"/>
      <c r="R19" s="27"/>
      <c r="T19" s="18"/>
    </row>
    <row r="20" spans="1:20" x14ac:dyDescent="0.25">
      <c r="A20" s="17">
        <f t="shared" si="1"/>
        <v>2032</v>
      </c>
      <c r="B20" s="18">
        <f>'VMT Build'!AC24</f>
        <v>2957767.3082204796</v>
      </c>
      <c r="C20" s="20">
        <f>'VMT No Build'!AE27</f>
        <v>1259.9999999999993</v>
      </c>
      <c r="D20" s="18">
        <f>C20*InpC!$D$6*Discounting!D23</f>
        <v>883989.28799999948</v>
      </c>
      <c r="F20" s="29">
        <v>33.835929072808057</v>
      </c>
      <c r="G20" s="18">
        <f>InpC!$D$7*InpC!$D$6*'Operating Benefits'!F20*Discounting!D23</f>
        <v>23738.570515785788</v>
      </c>
      <c r="I20" s="18">
        <f>300000*Discounting!D23</f>
        <v>300000</v>
      </c>
      <c r="K20" s="18">
        <f t="shared" si="0"/>
        <v>4165495.1667362652</v>
      </c>
      <c r="L20" s="23">
        <f>K20*Discounting!C23</f>
        <v>1509767.1430230467</v>
      </c>
      <c r="N20" s="27"/>
      <c r="P20" s="18"/>
      <c r="Q20" s="20"/>
      <c r="R20" s="27"/>
      <c r="T20" s="18"/>
    </row>
    <row r="21" spans="1:20" x14ac:dyDescent="0.25">
      <c r="A21" s="17">
        <f t="shared" si="1"/>
        <v>2033</v>
      </c>
      <c r="B21" s="18">
        <f>'VMT Build'!AC25</f>
        <v>2957767.3082204796</v>
      </c>
      <c r="C21" s="20">
        <f>'VMT No Build'!AE28</f>
        <v>1259.9999999999993</v>
      </c>
      <c r="D21" s="18">
        <f>C21*InpC!$D$6*Discounting!D24</f>
        <v>883989.28799999948</v>
      </c>
      <c r="F21" s="29">
        <v>33.835929072808057</v>
      </c>
      <c r="G21" s="18">
        <f>InpC!$D$7*InpC!$D$6*'Operating Benefits'!F21*Discounting!D24</f>
        <v>23738.570515785788</v>
      </c>
      <c r="I21" s="18">
        <f>300000*Discounting!D24</f>
        <v>300000</v>
      </c>
      <c r="K21" s="18">
        <f t="shared" si="0"/>
        <v>4165495.1667362652</v>
      </c>
      <c r="L21" s="23">
        <f>K21*Discounting!C24</f>
        <v>1410997.3299280812</v>
      </c>
      <c r="N21" s="27"/>
      <c r="P21" s="18"/>
      <c r="Q21" s="20"/>
      <c r="R21" s="27"/>
      <c r="T21" s="20"/>
    </row>
    <row r="22" spans="1:20" x14ac:dyDescent="0.25">
      <c r="A22" s="17">
        <f t="shared" si="1"/>
        <v>2034</v>
      </c>
      <c r="B22" s="18">
        <f>'VMT Build'!AC26</f>
        <v>2957767.3082204796</v>
      </c>
      <c r="C22" s="20">
        <f>'VMT No Build'!AE29</f>
        <v>1259.9999999999993</v>
      </c>
      <c r="D22" s="18">
        <f>C22*InpC!$D$6*Discounting!D25</f>
        <v>883989.28799999948</v>
      </c>
      <c r="F22" s="29">
        <v>33.835929072808057</v>
      </c>
      <c r="G22" s="18">
        <f>InpC!$D$7*InpC!$D$6*'Operating Benefits'!F22*Discounting!D25</f>
        <v>23738.570515785788</v>
      </c>
      <c r="I22" s="18">
        <f>300000*Discounting!D25</f>
        <v>300000</v>
      </c>
      <c r="K22" s="18">
        <f t="shared" si="0"/>
        <v>4165495.1667362652</v>
      </c>
      <c r="L22" s="23">
        <f>K22*Discounting!C25</f>
        <v>1318689.0933907302</v>
      </c>
      <c r="N22" s="27"/>
      <c r="P22" s="18"/>
      <c r="Q22" s="20"/>
      <c r="R22" s="27"/>
      <c r="T22" s="20"/>
    </row>
    <row r="23" spans="1:20" x14ac:dyDescent="0.25">
      <c r="A23" s="17">
        <f t="shared" si="1"/>
        <v>2035</v>
      </c>
      <c r="B23" s="18">
        <f>'VMT Build'!AC27</f>
        <v>2957767.3082204796</v>
      </c>
      <c r="C23" s="20">
        <f>'VMT No Build'!AE30</f>
        <v>1259.9999999999993</v>
      </c>
      <c r="D23" s="18">
        <f>C23*InpC!$D$6*Discounting!D26</f>
        <v>883989.28799999948</v>
      </c>
      <c r="F23" s="29">
        <v>33.835929072808057</v>
      </c>
      <c r="G23" s="18">
        <f>InpC!$D$7*InpC!$D$6*'Operating Benefits'!F23*Discounting!D26</f>
        <v>23738.570515785788</v>
      </c>
      <c r="I23" s="18">
        <f>300000*Discounting!D26</f>
        <v>300000</v>
      </c>
      <c r="K23" s="18">
        <f t="shared" si="0"/>
        <v>4165495.1667362652</v>
      </c>
      <c r="L23" s="23">
        <f>K23*Discounting!C26</f>
        <v>1232419.7134492802</v>
      </c>
      <c r="N23" s="27"/>
      <c r="P23" s="18"/>
      <c r="Q23" s="20"/>
      <c r="R23" s="27"/>
      <c r="T23" s="20"/>
    </row>
    <row r="24" spans="1:20" x14ac:dyDescent="0.25">
      <c r="A24" s="17">
        <f t="shared" si="1"/>
        <v>2036</v>
      </c>
      <c r="B24" s="18">
        <f>'VMT Build'!AC28</f>
        <v>2957767.3082204796</v>
      </c>
      <c r="C24" s="20">
        <f>'VMT No Build'!AE31</f>
        <v>1259.9999999999993</v>
      </c>
      <c r="D24" s="18">
        <f>C24*InpC!$D$6*Discounting!D27</f>
        <v>883989.28799999948</v>
      </c>
      <c r="F24" s="29">
        <v>33.835929072808057</v>
      </c>
      <c r="G24" s="18">
        <f>InpC!$D$7*InpC!$D$6*'Operating Benefits'!F24*Discounting!D27</f>
        <v>23738.570515785788</v>
      </c>
      <c r="I24" s="18">
        <f>300000*Discounting!D27</f>
        <v>300000</v>
      </c>
      <c r="K24" s="18">
        <f t="shared" si="0"/>
        <v>4165495.1667362652</v>
      </c>
      <c r="L24" s="23">
        <f>K24*Discounting!C27</f>
        <v>1151794.1247189536</v>
      </c>
      <c r="N24" s="27"/>
      <c r="P24" s="18"/>
      <c r="Q24" s="20"/>
      <c r="R24" s="27"/>
      <c r="T24" s="20"/>
    </row>
    <row r="25" spans="1:20" x14ac:dyDescent="0.25">
      <c r="A25" s="17">
        <f t="shared" si="1"/>
        <v>2037</v>
      </c>
      <c r="B25" s="18">
        <f>'VMT Build'!AC29</f>
        <v>2957767.3082204796</v>
      </c>
      <c r="C25" s="20">
        <f>'VMT No Build'!AE32</f>
        <v>1259.9999999999993</v>
      </c>
      <c r="D25" s="18">
        <f>C25*InpC!$D$6*Discounting!D28</f>
        <v>883989.28799999948</v>
      </c>
      <c r="F25" s="29">
        <v>33.835929072808057</v>
      </c>
      <c r="G25" s="18">
        <f>InpC!$D$7*InpC!$D$6*'Operating Benefits'!F25*Discounting!D28</f>
        <v>23738.570515785788</v>
      </c>
      <c r="I25" s="18">
        <f>300000*Discounting!D28</f>
        <v>300000</v>
      </c>
      <c r="K25" s="18">
        <f t="shared" si="0"/>
        <v>4165495.1667362652</v>
      </c>
      <c r="L25" s="23">
        <f>K25*Discounting!C28</f>
        <v>1076443.1072139754</v>
      </c>
      <c r="N25" s="27"/>
      <c r="P25" s="18"/>
      <c r="Q25" s="20"/>
      <c r="R25" s="27"/>
      <c r="T25" s="20"/>
    </row>
    <row r="26" spans="1:20" x14ac:dyDescent="0.25">
      <c r="A26" s="17">
        <f t="shared" si="1"/>
        <v>2038</v>
      </c>
      <c r="B26" s="18">
        <f>'VMT Build'!AC30</f>
        <v>2957767.3082204796</v>
      </c>
      <c r="C26" s="20">
        <f>'VMT No Build'!AE33</f>
        <v>1259.9999999999993</v>
      </c>
      <c r="D26" s="18">
        <f>C26*InpC!$D$6*Discounting!D29</f>
        <v>883989.28799999948</v>
      </c>
      <c r="F26" s="29">
        <v>33.835929072808057</v>
      </c>
      <c r="G26" s="18">
        <f>InpC!$D$7*InpC!$D$6*'Operating Benefits'!F26*Discounting!D29</f>
        <v>23738.570515785788</v>
      </c>
      <c r="I26" s="18">
        <f>300000*Discounting!D29</f>
        <v>300000</v>
      </c>
      <c r="K26" s="18">
        <f t="shared" si="0"/>
        <v>4165495.1667362652</v>
      </c>
      <c r="L26" s="23">
        <f>K26*Discounting!C29</f>
        <v>1006021.5955270798</v>
      </c>
      <c r="N26" s="27"/>
      <c r="P26" s="18"/>
      <c r="Q26" s="20"/>
      <c r="R26" s="27"/>
      <c r="T26" s="20"/>
    </row>
    <row r="27" spans="1:20" x14ac:dyDescent="0.25">
      <c r="A27" s="17">
        <f t="shared" si="1"/>
        <v>2039</v>
      </c>
      <c r="B27" s="18">
        <f>'VMT Build'!AC31</f>
        <v>2957767.3082204796</v>
      </c>
      <c r="C27" s="20">
        <f>'VMT No Build'!AE34</f>
        <v>1259.9999999999993</v>
      </c>
      <c r="D27" s="18">
        <f>C27*InpC!$D$6*Discounting!D30</f>
        <v>883989.28799999948</v>
      </c>
      <c r="F27" s="29">
        <v>33.835929072808057</v>
      </c>
      <c r="G27" s="18">
        <f>InpC!$D$7*InpC!$D$6*'Operating Benefits'!F27*Discounting!D30</f>
        <v>23738.570515785788</v>
      </c>
      <c r="I27" s="18">
        <f>300000*Discounting!D30</f>
        <v>300000</v>
      </c>
      <c r="K27" s="18">
        <f t="shared" si="0"/>
        <v>4165495.1667362652</v>
      </c>
      <c r="L27" s="23">
        <f>K27*Discounting!C30</f>
        <v>940207.09862343909</v>
      </c>
      <c r="N27" s="27"/>
      <c r="P27" s="18"/>
      <c r="Q27" s="20"/>
      <c r="R27" s="27"/>
      <c r="T27" s="20"/>
    </row>
    <row r="28" spans="1:20" x14ac:dyDescent="0.25">
      <c r="A28" s="17">
        <f t="shared" si="1"/>
        <v>2040</v>
      </c>
      <c r="B28" s="18">
        <f>'VMT Build'!AC32</f>
        <v>2957767.3082204796</v>
      </c>
      <c r="C28" s="20">
        <f>'VMT No Build'!AE35</f>
        <v>1259.9999999999993</v>
      </c>
      <c r="D28" s="18">
        <f>C28*InpC!$D$6*Discounting!D31</f>
        <v>883989.28799999948</v>
      </c>
      <c r="F28" s="29">
        <v>33.835929072808057</v>
      </c>
      <c r="G28" s="18">
        <f>InpC!$D$7*InpC!$D$6*'Operating Benefits'!F28*Discounting!D31</f>
        <v>23738.570515785788</v>
      </c>
      <c r="I28" s="18">
        <f>300000*Discounting!D31</f>
        <v>300000</v>
      </c>
      <c r="K28" s="18">
        <f t="shared" si="0"/>
        <v>4165495.1667362652</v>
      </c>
      <c r="L28" s="23">
        <f>K28*Discounting!C31</f>
        <v>878698.22301255981</v>
      </c>
      <c r="N28" s="27"/>
      <c r="P28" s="18"/>
      <c r="Q28" s="20"/>
      <c r="R28" s="27"/>
      <c r="T28" s="20"/>
    </row>
    <row r="29" spans="1:20" x14ac:dyDescent="0.25">
      <c r="A29" s="17">
        <f t="shared" si="1"/>
        <v>2041</v>
      </c>
      <c r="B29" s="18">
        <f>'VMT Build'!AC33</f>
        <v>2957767.3082204796</v>
      </c>
      <c r="C29" s="20">
        <f>'VMT No Build'!AE36</f>
        <v>1259.9999999999993</v>
      </c>
      <c r="D29" s="18">
        <f>C29*InpC!$D$6*Discounting!D32</f>
        <v>883989.28799999948</v>
      </c>
      <c r="F29" s="29">
        <v>33.835929072808057</v>
      </c>
      <c r="G29" s="18">
        <f>InpC!$D$7*InpC!$D$6*'Operating Benefits'!F29*Discounting!D32</f>
        <v>23738.570515785788</v>
      </c>
      <c r="I29" s="18">
        <f>300000*Discounting!D32</f>
        <v>300000</v>
      </c>
      <c r="K29" s="18">
        <f t="shared" si="0"/>
        <v>4165495.1667362652</v>
      </c>
      <c r="L29" s="23">
        <f>K29*Discounting!C32</f>
        <v>821213.29253510269</v>
      </c>
      <c r="N29" s="27"/>
      <c r="P29" s="18"/>
      <c r="Q29" s="20"/>
      <c r="R29" s="27"/>
      <c r="T29" s="20"/>
    </row>
    <row r="30" spans="1:20" x14ac:dyDescent="0.25">
      <c r="A30" s="17">
        <f t="shared" si="1"/>
        <v>2042</v>
      </c>
      <c r="B30" s="18">
        <f>'VMT Build'!AC34</f>
        <v>2957767.3082204796</v>
      </c>
      <c r="C30" s="20">
        <f>'VMT No Build'!AE37</f>
        <v>1259.9999999999993</v>
      </c>
      <c r="D30" s="18">
        <f>C30*InpC!$D$6*Discounting!D33</f>
        <v>883989.28799999948</v>
      </c>
      <c r="F30" s="29">
        <v>33.835929072808057</v>
      </c>
      <c r="G30" s="18">
        <f>InpC!$D$7*InpC!$D$6*'Operating Benefits'!F30*Discounting!D33</f>
        <v>23738.570515785788</v>
      </c>
      <c r="I30" s="18">
        <f>300000*Discounting!D33</f>
        <v>300000</v>
      </c>
      <c r="K30" s="18">
        <f t="shared" si="0"/>
        <v>4165495.1667362652</v>
      </c>
      <c r="L30" s="23">
        <f>K30*Discounting!C33</f>
        <v>767489.05844402104</v>
      </c>
      <c r="N30" s="27"/>
      <c r="P30" s="18"/>
      <c r="Q30" s="20"/>
      <c r="R30" s="27"/>
      <c r="T30" s="20"/>
    </row>
    <row r="31" spans="1:20" x14ac:dyDescent="0.25">
      <c r="A31" s="17">
        <f t="shared" si="1"/>
        <v>2043</v>
      </c>
      <c r="B31" s="18">
        <f>'VMT Build'!AC35</f>
        <v>2957767.3082204796</v>
      </c>
      <c r="C31" s="20">
        <f>'VMT No Build'!AE38</f>
        <v>1259.9999999999993</v>
      </c>
      <c r="D31" s="18">
        <f>C31*InpC!$D$6*Discounting!D34</f>
        <v>883989.28799999948</v>
      </c>
      <c r="F31" s="29">
        <v>33.835929072808057</v>
      </c>
      <c r="G31" s="18">
        <f>InpC!$D$7*InpC!$D$6*'Operating Benefits'!F31*Discounting!D34</f>
        <v>23738.570515785788</v>
      </c>
      <c r="I31" s="18">
        <f>300000*Discounting!D34</f>
        <v>300000</v>
      </c>
      <c r="K31" s="18">
        <f t="shared" si="0"/>
        <v>4165495.1667362652</v>
      </c>
      <c r="L31" s="23">
        <f>K31*Discounting!C34</f>
        <v>717279.49387291702</v>
      </c>
      <c r="N31" s="27"/>
      <c r="P31" s="18"/>
      <c r="Q31" s="20"/>
      <c r="R31" s="27"/>
      <c r="T31" s="20"/>
    </row>
    <row r="32" spans="1:20" x14ac:dyDescent="0.25">
      <c r="A32" s="17">
        <f t="shared" si="1"/>
        <v>2044</v>
      </c>
      <c r="B32" s="18">
        <f>'VMT Build'!AC36</f>
        <v>2957767.3082204796</v>
      </c>
      <c r="C32" s="20">
        <f>'VMT No Build'!AE39</f>
        <v>1259.9999999999993</v>
      </c>
      <c r="D32" s="18">
        <f>C32*InpC!$D$6*Discounting!D35</f>
        <v>883989.28799999948</v>
      </c>
      <c r="F32" s="29">
        <v>33.835929072808057</v>
      </c>
      <c r="G32" s="18">
        <f>InpC!$D$7*InpC!$D$6*'Operating Benefits'!F32*Discounting!D35</f>
        <v>23738.570515785788</v>
      </c>
      <c r="I32" s="18">
        <f>300000*Discounting!D35</f>
        <v>300000</v>
      </c>
      <c r="K32" s="18">
        <f t="shared" si="0"/>
        <v>4165495.1667362652</v>
      </c>
      <c r="L32" s="23">
        <f>K32*Discounting!C35</f>
        <v>670354.66717095033</v>
      </c>
      <c r="N32" s="27"/>
      <c r="P32" s="18"/>
      <c r="Q32" s="20"/>
      <c r="R32" s="27"/>
      <c r="T32" s="20"/>
    </row>
    <row r="33" spans="1:20" x14ac:dyDescent="0.25">
      <c r="A33" s="17">
        <f t="shared" si="1"/>
        <v>2045</v>
      </c>
      <c r="B33" s="18">
        <f>'VMT Build'!AC37</f>
        <v>2957767.3082204796</v>
      </c>
      <c r="C33" s="20">
        <f>'VMT No Build'!AE40</f>
        <v>1259.9999999999993</v>
      </c>
      <c r="D33" s="18">
        <f>C33*InpC!$D$6*Discounting!D36</f>
        <v>883989.28799999948</v>
      </c>
      <c r="F33" s="29">
        <v>33.835929072808057</v>
      </c>
      <c r="G33" s="18">
        <f>InpC!$D$7*InpC!$D$6*'Operating Benefits'!F33*Discounting!D36</f>
        <v>23738.570515785788</v>
      </c>
      <c r="I33" s="18">
        <f>300000*Discounting!D36</f>
        <v>300000</v>
      </c>
      <c r="K33" s="18">
        <f t="shared" si="0"/>
        <v>4165495.1667362652</v>
      </c>
      <c r="L33" s="23">
        <f>K33*Discounting!C36</f>
        <v>626499.68894481345</v>
      </c>
      <c r="N33" s="27"/>
      <c r="P33" s="18"/>
      <c r="Q33" s="20"/>
      <c r="R33" s="27"/>
      <c r="T33" s="20"/>
    </row>
    <row r="34" spans="1:20" x14ac:dyDescent="0.25">
      <c r="A34" s="17">
        <f t="shared" si="1"/>
        <v>2046</v>
      </c>
      <c r="B34" s="18">
        <f>'VMT Build'!AC38</f>
        <v>2957767.3082204796</v>
      </c>
      <c r="C34" s="20">
        <f>'VMT No Build'!AE41</f>
        <v>1259.9999999999993</v>
      </c>
      <c r="D34" s="18">
        <f>C34*InpC!$D$6*Discounting!D37</f>
        <v>883989.28799999948</v>
      </c>
      <c r="F34" s="29">
        <v>33.835929072808057</v>
      </c>
      <c r="G34" s="18">
        <f>InpC!$D$7*InpC!$D$6*'Operating Benefits'!F34*Discounting!D37</f>
        <v>23738.570515785788</v>
      </c>
      <c r="I34" s="18">
        <f>300000*Discounting!D37</f>
        <v>300000</v>
      </c>
      <c r="K34" s="18">
        <f t="shared" si="0"/>
        <v>4165495.1667362652</v>
      </c>
      <c r="L34" s="23">
        <f>K34*Discounting!C37</f>
        <v>585513.727985807</v>
      </c>
      <c r="N34" s="27"/>
      <c r="P34" s="18"/>
      <c r="Q34" s="20"/>
      <c r="R34" s="27"/>
      <c r="T34" s="20"/>
    </row>
    <row r="35" spans="1:20" x14ac:dyDescent="0.25">
      <c r="A35" s="17">
        <f t="shared" si="1"/>
        <v>2047</v>
      </c>
      <c r="B35" s="18">
        <f>'VMT Build'!AC39</f>
        <v>2957767.3082204796</v>
      </c>
      <c r="C35" s="20">
        <f>'VMT No Build'!AE42</f>
        <v>1259.9999999999993</v>
      </c>
      <c r="D35" s="18">
        <f>C35*InpC!$D$6*Discounting!D38</f>
        <v>883989.28799999948</v>
      </c>
      <c r="F35" s="29">
        <v>33.835929072808057</v>
      </c>
      <c r="G35" s="18">
        <f>InpC!$D$7*InpC!$D$6*'Operating Benefits'!F35*Discounting!D38</f>
        <v>23738.570515785788</v>
      </c>
      <c r="I35" s="18">
        <f>300000*Discounting!D38</f>
        <v>300000</v>
      </c>
      <c r="K35" s="18">
        <f t="shared" si="0"/>
        <v>4165495.1667362652</v>
      </c>
      <c r="L35" s="23">
        <f>K35*Discounting!C38</f>
        <v>547209.09157552058</v>
      </c>
      <c r="N35" s="27"/>
      <c r="P35" s="18"/>
      <c r="Q35" s="20"/>
      <c r="R35" s="27"/>
      <c r="T35" s="20"/>
    </row>
    <row r="36" spans="1:20" x14ac:dyDescent="0.25">
      <c r="A36" s="17">
        <f t="shared" si="1"/>
        <v>2048</v>
      </c>
      <c r="B36" s="18">
        <f>'VMT Build'!AC40</f>
        <v>0</v>
      </c>
      <c r="C36" s="20">
        <f>'VMT No Build'!AE43</f>
        <v>1259.9999999999993</v>
      </c>
      <c r="D36" s="18">
        <f>C36*InpC!$D$6*Discounting!D39</f>
        <v>0</v>
      </c>
      <c r="F36" s="29">
        <v>33.835929072808057</v>
      </c>
      <c r="G36" s="18">
        <f>InpC!$D$7*InpC!$D$6*'Operating Benefits'!F36*Discounting!D39</f>
        <v>0</v>
      </c>
      <c r="I36" s="18">
        <f>300000*Discounting!D39</f>
        <v>0</v>
      </c>
      <c r="K36" s="18">
        <f t="shared" si="0"/>
        <v>0</v>
      </c>
      <c r="L36" s="23">
        <f>K36*Discounting!C39</f>
        <v>0</v>
      </c>
      <c r="N36" s="27"/>
      <c r="P36" s="20"/>
      <c r="Q36" s="18"/>
    </row>
    <row r="37" spans="1:20" x14ac:dyDescent="0.25">
      <c r="A37" s="17">
        <f t="shared" si="1"/>
        <v>2049</v>
      </c>
      <c r="B37" s="18">
        <f>'VMT Build'!AC41</f>
        <v>0</v>
      </c>
      <c r="C37" s="20">
        <f>'VMT No Build'!AE44</f>
        <v>1259.9999999999993</v>
      </c>
      <c r="D37" s="18">
        <f>C37*InpC!$D$6*Discounting!D40</f>
        <v>0</v>
      </c>
      <c r="F37" s="29">
        <v>33.835929072808057</v>
      </c>
      <c r="G37" s="18">
        <f>InpC!$D$7*InpC!$D$6*'Operating Benefits'!F37*Discounting!D40</f>
        <v>0</v>
      </c>
      <c r="I37" s="18">
        <f>300000*Discounting!D40</f>
        <v>0</v>
      </c>
      <c r="K37" s="18">
        <f t="shared" si="0"/>
        <v>0</v>
      </c>
      <c r="L37" s="23">
        <f>K37*Discounting!C40</f>
        <v>0</v>
      </c>
      <c r="N37" s="27"/>
      <c r="P37" s="20"/>
      <c r="Q37" s="18"/>
    </row>
    <row r="38" spans="1:20" x14ac:dyDescent="0.25">
      <c r="A38" s="17">
        <f t="shared" si="1"/>
        <v>2050</v>
      </c>
      <c r="B38" s="18">
        <f>'VMT Build'!AC42</f>
        <v>0</v>
      </c>
      <c r="C38" s="20">
        <f>'VMT No Build'!AE45</f>
        <v>1259.9999999999993</v>
      </c>
      <c r="D38" s="18">
        <f>C38*InpC!$D$6*Discounting!D41</f>
        <v>0</v>
      </c>
      <c r="F38" s="29">
        <v>33.835929072808057</v>
      </c>
      <c r="G38" s="18">
        <f>InpC!$D$7*InpC!$D$6*'Operating Benefits'!F38*Discounting!D41</f>
        <v>0</v>
      </c>
      <c r="I38" s="18">
        <f>300000*Discounting!D41</f>
        <v>0</v>
      </c>
      <c r="K38" s="18">
        <f t="shared" si="0"/>
        <v>0</v>
      </c>
      <c r="L38" s="23">
        <f>K38*Discounting!C41</f>
        <v>0</v>
      </c>
      <c r="N38" s="27"/>
      <c r="P38" s="20"/>
      <c r="Q38" s="18"/>
    </row>
    <row r="39" spans="1:20" x14ac:dyDescent="0.25">
      <c r="A39" s="17">
        <f t="shared" si="1"/>
        <v>2051</v>
      </c>
      <c r="B39" s="18">
        <f>'VMT Build'!AC43</f>
        <v>0</v>
      </c>
      <c r="C39" s="20">
        <f>'VMT No Build'!AE46</f>
        <v>1259.9999999999993</v>
      </c>
      <c r="D39" s="18">
        <f>C39*InpC!$D$6*Discounting!D42</f>
        <v>0</v>
      </c>
      <c r="F39" s="29">
        <v>33.835929072808057</v>
      </c>
      <c r="G39" s="18">
        <f>InpC!$D$7*InpC!$D$6*'Operating Benefits'!F39*Discounting!D42</f>
        <v>0</v>
      </c>
      <c r="I39" s="18">
        <f>300000*Discounting!D42</f>
        <v>0</v>
      </c>
      <c r="K39" s="18">
        <f t="shared" si="0"/>
        <v>0</v>
      </c>
      <c r="L39" s="23">
        <f>K39*Discounting!C42</f>
        <v>0</v>
      </c>
      <c r="N39" s="27"/>
      <c r="P39" s="20"/>
      <c r="Q39" s="18"/>
    </row>
    <row r="40" spans="1:20" x14ac:dyDescent="0.25">
      <c r="B40" s="18">
        <f>SUM(B10:B39)</f>
        <v>73601914.64635998</v>
      </c>
      <c r="D40" s="18">
        <f>SUM(D5:D39)</f>
        <v>22228490.328670453</v>
      </c>
      <c r="G40" s="18">
        <f>SUM(G10:G39)</f>
        <v>648550.55111771834</v>
      </c>
      <c r="I40" s="18">
        <f>SUM(I5:I39)</f>
        <v>7200000</v>
      </c>
      <c r="K40" s="18">
        <f>SUM(K5:K39)</f>
        <v>103678955.52614819</v>
      </c>
      <c r="L40" s="18">
        <f>SUM(L5:L39)</f>
        <v>33824041.853861891</v>
      </c>
      <c r="N40" s="18"/>
      <c r="P40" s="20"/>
      <c r="Q40" s="20"/>
      <c r="R40" s="27"/>
    </row>
    <row r="41" spans="1:20" x14ac:dyDescent="0.25">
      <c r="N41" s="18"/>
    </row>
    <row r="42" spans="1:20" x14ac:dyDescent="0.25">
      <c r="B42" s="18"/>
      <c r="G42" s="18"/>
      <c r="K42" s="18"/>
      <c r="L42" s="18"/>
      <c r="N42" s="18"/>
    </row>
    <row r="43" spans="1:20" x14ac:dyDescent="0.25">
      <c r="B43" s="18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opLeftCell="A16" workbookViewId="0">
      <selection activeCell="L3" sqref="L3:T38"/>
    </sheetView>
  </sheetViews>
  <sheetFormatPr defaultRowHeight="15" x14ac:dyDescent="0.25"/>
  <cols>
    <col min="1" max="1" width="34.42578125" customWidth="1"/>
    <col min="2" max="2" width="9.5703125" bestFit="1" customWidth="1"/>
    <col min="5" max="5" width="12.7109375" customWidth="1"/>
    <col min="6" max="6" width="11.140625" bestFit="1" customWidth="1"/>
    <col min="8" max="8" width="11.140625" bestFit="1" customWidth="1"/>
    <col min="9" max="9" width="13" customWidth="1"/>
    <col min="10" max="10" width="14.140625" customWidth="1"/>
    <col min="14" max="14" width="12.5703125" customWidth="1"/>
    <col min="15" max="15" width="10.28515625" customWidth="1"/>
  </cols>
  <sheetData>
    <row r="2" spans="1:18" x14ac:dyDescent="0.25">
      <c r="A2" t="s">
        <v>16</v>
      </c>
      <c r="B2">
        <v>2</v>
      </c>
      <c r="D2" t="s">
        <v>33</v>
      </c>
      <c r="E2" t="s">
        <v>29</v>
      </c>
      <c r="F2" t="s">
        <v>30</v>
      </c>
      <c r="G2" t="s">
        <v>31</v>
      </c>
      <c r="H2" t="s">
        <v>32</v>
      </c>
      <c r="I2" t="s">
        <v>12</v>
      </c>
      <c r="J2" t="s">
        <v>8</v>
      </c>
    </row>
    <row r="3" spans="1:18" x14ac:dyDescent="0.25">
      <c r="D3" s="17">
        <v>2017</v>
      </c>
      <c r="J3" s="18">
        <f>I3*Discounting!C8</f>
        <v>0</v>
      </c>
    </row>
    <row r="4" spans="1:18" x14ac:dyDescent="0.25">
      <c r="A4" t="s">
        <v>17</v>
      </c>
      <c r="B4" s="82">
        <f>B2/24</f>
        <v>8.3333333333333329E-2</v>
      </c>
      <c r="D4" s="17">
        <f>1+D3</f>
        <v>2018</v>
      </c>
      <c r="J4" s="18">
        <f>I4*Discounting!C9</f>
        <v>0</v>
      </c>
    </row>
    <row r="5" spans="1:18" x14ac:dyDescent="0.25">
      <c r="D5" s="17">
        <f t="shared" ref="D5:D37" si="0">1+D4</f>
        <v>2019</v>
      </c>
      <c r="J5" s="18">
        <f>I5*Discounting!C10</f>
        <v>0</v>
      </c>
    </row>
    <row r="6" spans="1:18" x14ac:dyDescent="0.25">
      <c r="A6" t="s">
        <v>18</v>
      </c>
      <c r="B6">
        <v>62.5</v>
      </c>
      <c r="D6" s="17">
        <f t="shared" si="0"/>
        <v>2020</v>
      </c>
      <c r="J6" s="18">
        <f>I6*Discounting!C11</f>
        <v>0</v>
      </c>
    </row>
    <row r="7" spans="1:18" x14ac:dyDescent="0.25">
      <c r="A7" t="s">
        <v>19</v>
      </c>
      <c r="B7" s="25">
        <f>B$4*B6</f>
        <v>5.208333333333333</v>
      </c>
      <c r="D7" s="17">
        <f t="shared" si="0"/>
        <v>2021</v>
      </c>
      <c r="J7" s="18">
        <f>I7*Discounting!C12</f>
        <v>0</v>
      </c>
    </row>
    <row r="8" spans="1:18" x14ac:dyDescent="0.25">
      <c r="A8" t="s">
        <v>20</v>
      </c>
      <c r="B8" s="26">
        <f>B7/1000</f>
        <v>5.208333333333333E-3</v>
      </c>
      <c r="D8" s="17">
        <f t="shared" si="0"/>
        <v>2022</v>
      </c>
      <c r="E8" s="20">
        <f>'Operating Benefits'!C10+'Operating Benefits'!F10</f>
        <v>0</v>
      </c>
      <c r="F8" s="18">
        <f>E8*$B$10*Discounting!D13</f>
        <v>0</v>
      </c>
      <c r="G8" s="18">
        <f>E8*$B$16*Discounting!D13</f>
        <v>0</v>
      </c>
      <c r="H8" s="18">
        <f>E8*$B$22*Discounting!D13</f>
        <v>0</v>
      </c>
      <c r="I8" s="18">
        <f>SUM(F8:H8)</f>
        <v>0</v>
      </c>
      <c r="J8" s="18">
        <f>I8*Discounting!C13</f>
        <v>0</v>
      </c>
      <c r="L8" s="18"/>
      <c r="M8" s="18"/>
      <c r="N8" s="18"/>
      <c r="O8" s="18"/>
      <c r="Q8" s="18"/>
      <c r="R8" s="18"/>
    </row>
    <row r="9" spans="1:18" x14ac:dyDescent="0.25">
      <c r="A9" t="s">
        <v>253</v>
      </c>
      <c r="B9" s="18">
        <f>InpC!D9</f>
        <v>9142.4500000000007</v>
      </c>
      <c r="D9" s="17">
        <f t="shared" si="0"/>
        <v>2023</v>
      </c>
      <c r="E9" s="20">
        <f>'Operating Benefits'!C11+'Operating Benefits'!F11</f>
        <v>-3.3838484909127402</v>
      </c>
      <c r="F9" s="18">
        <f>E9*$B$10*Discounting!D14</f>
        <v>0</v>
      </c>
      <c r="G9" s="18">
        <f>E9*$B$16*Discounting!D14</f>
        <v>0</v>
      </c>
      <c r="H9" s="18">
        <f>E9*$B$22*Discounting!D14</f>
        <v>0</v>
      </c>
      <c r="I9" s="18">
        <f>SUM(F9:H9)</f>
        <v>0</v>
      </c>
      <c r="J9" s="18">
        <f>I9*Discounting!C14</f>
        <v>0</v>
      </c>
      <c r="L9" s="18"/>
      <c r="M9" s="18"/>
      <c r="N9" s="18"/>
      <c r="O9" s="18"/>
      <c r="Q9" s="18"/>
      <c r="R9" s="18"/>
    </row>
    <row r="10" spans="1:18" x14ac:dyDescent="0.25">
      <c r="A10" t="s">
        <v>26</v>
      </c>
      <c r="B10" s="27">
        <f>B8*B9</f>
        <v>47.616927083333337</v>
      </c>
      <c r="D10" s="17">
        <f t="shared" si="0"/>
        <v>2024</v>
      </c>
      <c r="E10" s="20">
        <f>'Operating Benefits'!C12+'Operating Benefits'!F12</f>
        <v>1616.7038732664109</v>
      </c>
      <c r="F10" s="18">
        <f>E10*$B$10*Discounting!D15</f>
        <v>76982.470448669264</v>
      </c>
      <c r="G10" s="18">
        <f>E10*$B$16*Discounting!D15</f>
        <v>504.55980631416963</v>
      </c>
      <c r="H10" s="18">
        <f>E10*$B$22*Discounting!D15</f>
        <v>196229.24467330187</v>
      </c>
      <c r="I10" s="18">
        <f t="shared" ref="I10:I37" si="1">SUM(F10:H10)</f>
        <v>273716.27492828527</v>
      </c>
      <c r="J10" s="18">
        <f>I10*Discounting!C15</f>
        <v>170456.73956120142</v>
      </c>
      <c r="L10" s="18"/>
      <c r="M10" s="18"/>
      <c r="N10" s="18"/>
      <c r="O10" s="18"/>
      <c r="Q10" s="18"/>
      <c r="R10" s="18"/>
    </row>
    <row r="11" spans="1:18" x14ac:dyDescent="0.25">
      <c r="D11" s="17">
        <f t="shared" si="0"/>
        <v>2025</v>
      </c>
      <c r="E11" s="20">
        <f>'Operating Benefits'!C13+'Operating Benefits'!F13</f>
        <v>1596.5873887378966</v>
      </c>
      <c r="F11" s="18">
        <f>E11*$B$10*Discounting!D16</f>
        <v>76024.585271702003</v>
      </c>
      <c r="G11" s="18">
        <f>E11*$B$16*Discounting!D16</f>
        <v>498.28161913019136</v>
      </c>
      <c r="H11" s="18">
        <f>E11*$B$22*Discounting!D16</f>
        <v>193787.58381642704</v>
      </c>
      <c r="I11" s="18">
        <f t="shared" si="1"/>
        <v>270310.45070725924</v>
      </c>
      <c r="J11" s="18">
        <f>I11*Discounting!C16</f>
        <v>157323.14337070391</v>
      </c>
      <c r="L11" s="18"/>
      <c r="M11" s="18"/>
      <c r="N11" s="18"/>
    </row>
    <row r="12" spans="1:18" x14ac:dyDescent="0.25">
      <c r="A12" t="s">
        <v>21</v>
      </c>
      <c r="B12">
        <v>1.7</v>
      </c>
      <c r="D12" s="17">
        <f t="shared" si="0"/>
        <v>2026</v>
      </c>
      <c r="E12" s="20">
        <f>'Operating Benefits'!C14+'Operating Benefits'!F14</f>
        <v>1560.6035690050794</v>
      </c>
      <c r="F12" s="18">
        <f>E12*$B$10*Discounting!D17</f>
        <v>74311.146351304633</v>
      </c>
      <c r="G12" s="18">
        <f>E12*$B$16*Discounting!D17</f>
        <v>487.05136885674358</v>
      </c>
      <c r="H12" s="18">
        <f>E12*$B$22*Discounting!D17</f>
        <v>189420.00736449176</v>
      </c>
      <c r="I12" s="18">
        <f t="shared" si="1"/>
        <v>264218.20508465311</v>
      </c>
      <c r="J12" s="18">
        <f>I12*Discounting!C17</f>
        <v>143717.19715056135</v>
      </c>
      <c r="L12" s="18"/>
      <c r="M12" s="18"/>
      <c r="N12" s="18"/>
    </row>
    <row r="13" spans="1:18" x14ac:dyDescent="0.25">
      <c r="A13" t="s">
        <v>22</v>
      </c>
      <c r="B13" s="25">
        <f>B$4*B12</f>
        <v>0.14166666666666666</v>
      </c>
      <c r="D13" s="17">
        <f t="shared" si="0"/>
        <v>2027</v>
      </c>
      <c r="E13" s="20">
        <f>'Operating Benefits'!C15+'Operating Benefits'!F15</f>
        <v>1522.5011544923923</v>
      </c>
      <c r="F13" s="18">
        <f>E13*$B$10*Discounting!D18</f>
        <v>72496.826457755073</v>
      </c>
      <c r="G13" s="18">
        <f>E13*$B$16*Discounting!D18</f>
        <v>475.15992280745485</v>
      </c>
      <c r="H13" s="18">
        <f>E13*$B$22*Discounting!D18</f>
        <v>184795.28409655808</v>
      </c>
      <c r="I13" s="18">
        <f t="shared" si="1"/>
        <v>257767.27047712059</v>
      </c>
      <c r="J13" s="18">
        <f>I13*Discounting!C18</f>
        <v>131035.80948254259</v>
      </c>
      <c r="L13" s="18"/>
      <c r="M13" s="18"/>
      <c r="N13" s="18"/>
      <c r="O13" s="18"/>
    </row>
    <row r="14" spans="1:18" x14ac:dyDescent="0.25">
      <c r="A14" t="s">
        <v>23</v>
      </c>
      <c r="B14" s="26">
        <f>B13/1000</f>
        <v>1.4166666666666665E-4</v>
      </c>
      <c r="D14" s="17">
        <f t="shared" si="0"/>
        <v>2028</v>
      </c>
      <c r="E14" s="20">
        <f>'Operating Benefits'!C16+'Operating Benefits'!F16</f>
        <v>1464.6856604613602</v>
      </c>
      <c r="F14" s="18">
        <f>E14*$B$10*Discounting!D19</f>
        <v>69743.830294192521</v>
      </c>
      <c r="G14" s="18">
        <f>E14*$B$16*Discounting!D19</f>
        <v>457.11618891615331</v>
      </c>
      <c r="H14" s="18">
        <f>E14*$B$22*Discounting!D19</f>
        <v>177777.86370700866</v>
      </c>
      <c r="I14" s="18">
        <f t="shared" si="1"/>
        <v>247978.81019011734</v>
      </c>
      <c r="J14" s="18">
        <f>I14*Discounting!C19</f>
        <v>117812.94637808941</v>
      </c>
      <c r="L14" s="18"/>
      <c r="M14" s="18"/>
      <c r="N14" s="18"/>
      <c r="O14" s="18"/>
    </row>
    <row r="15" spans="1:18" x14ac:dyDescent="0.25">
      <c r="A15" t="s">
        <v>253</v>
      </c>
      <c r="B15" s="18">
        <f>InpC!D12</f>
        <v>2203</v>
      </c>
      <c r="D15" s="17">
        <f t="shared" si="0"/>
        <v>2029</v>
      </c>
      <c r="E15" s="20">
        <f>'Operating Benefits'!C17+'Operating Benefits'!F17</f>
        <v>1424.1747054465782</v>
      </c>
      <c r="F15" s="18">
        <f>E15*$B$10*Discounting!D20</f>
        <v>67814.823103177449</v>
      </c>
      <c r="G15" s="18">
        <f>E15*$B$16*Discounting!D20</f>
        <v>444.47305744733166</v>
      </c>
      <c r="H15" s="18">
        <f>E15*$B$22*Discounting!D20</f>
        <v>172860.80113606076</v>
      </c>
      <c r="I15" s="18">
        <f t="shared" si="1"/>
        <v>241120.09729668556</v>
      </c>
      <c r="J15" s="18">
        <f>I15*Discounting!C20</f>
        <v>107060.20681301807</v>
      </c>
      <c r="L15" s="18"/>
      <c r="M15" s="18"/>
      <c r="N15" s="18"/>
      <c r="O15" s="18"/>
    </row>
    <row r="16" spans="1:18" x14ac:dyDescent="0.25">
      <c r="A16" t="s">
        <v>27</v>
      </c>
      <c r="B16" s="27">
        <f>B14*B15</f>
        <v>0.31209166666666666</v>
      </c>
      <c r="D16" s="17">
        <f t="shared" si="0"/>
        <v>2030</v>
      </c>
      <c r="E16" s="20">
        <f>'Operating Benefits'!C18+'Operating Benefits'!F18</f>
        <v>1381.8473249602903</v>
      </c>
      <c r="F16" s="18">
        <f>E16*$B$10*Discounting!D21</f>
        <v>65799.323312933368</v>
      </c>
      <c r="G16" s="18">
        <f>E16*$B$16*Discounting!D21</f>
        <v>431.26303472573193</v>
      </c>
      <c r="H16" s="18">
        <f>E16*$B$22*Discounting!D21</f>
        <v>167723.2678875986</v>
      </c>
      <c r="I16" s="18">
        <f t="shared" si="1"/>
        <v>233953.85423525772</v>
      </c>
      <c r="J16" s="18">
        <f>I16*Discounting!C21</f>
        <v>97082.531954129125</v>
      </c>
      <c r="L16" s="18"/>
      <c r="M16" s="18"/>
      <c r="N16" s="18"/>
    </row>
    <row r="17" spans="1:14" x14ac:dyDescent="0.25">
      <c r="D17" s="17">
        <f t="shared" si="0"/>
        <v>2031</v>
      </c>
      <c r="E17" s="20">
        <f>'Operating Benefits'!C19+'Operating Benefits'!F19</f>
        <v>1339.463545352791</v>
      </c>
      <c r="F17" s="18">
        <f>E17*$B$10*Discounting!D22</f>
        <v>63781.137969847005</v>
      </c>
      <c r="G17" s="18">
        <f>E17*$B$16*Discounting!D22</f>
        <v>418.03541030839477</v>
      </c>
      <c r="H17" s="18">
        <f>E17*$B$22*Discounting!D22</f>
        <v>162578.88913258541</v>
      </c>
      <c r="I17" s="18">
        <f t="shared" si="1"/>
        <v>226778.06251274081</v>
      </c>
      <c r="J17" s="18">
        <f>I17*Discounting!C22</f>
        <v>87948.442526945582</v>
      </c>
      <c r="L17" s="18"/>
      <c r="M17" s="18"/>
      <c r="N17" s="18"/>
    </row>
    <row r="18" spans="1:14" x14ac:dyDescent="0.25">
      <c r="A18" t="s">
        <v>24</v>
      </c>
      <c r="B18">
        <v>3.5</v>
      </c>
      <c r="D18" s="17">
        <f t="shared" si="0"/>
        <v>2032</v>
      </c>
      <c r="E18" s="20">
        <f>'Operating Benefits'!C20+'Operating Benefits'!F20</f>
        <v>1293.8359290728074</v>
      </c>
      <c r="F18" s="18">
        <f>E18*$B$10*Discounting!D23</f>
        <v>61608.491092456716</v>
      </c>
      <c r="G18" s="18">
        <f>E18*$B$16*Discounting!D23</f>
        <v>403.79541149754755</v>
      </c>
      <c r="H18" s="18">
        <f>E18*$B$22*Discounting!D23</f>
        <v>157040.78606564915</v>
      </c>
      <c r="I18" s="18">
        <f t="shared" si="1"/>
        <v>219053.07256960342</v>
      </c>
      <c r="J18" s="18">
        <f>I18*Discounting!C23</f>
        <v>79394.914243281717</v>
      </c>
      <c r="L18" s="18"/>
      <c r="M18" s="18"/>
      <c r="N18" s="18"/>
    </row>
    <row r="19" spans="1:14" x14ac:dyDescent="0.25">
      <c r="A19" t="s">
        <v>25</v>
      </c>
      <c r="B19" s="25">
        <f>B$4*B18</f>
        <v>0.29166666666666663</v>
      </c>
      <c r="D19" s="17">
        <f t="shared" si="0"/>
        <v>2033</v>
      </c>
      <c r="E19" s="20">
        <f>'Operating Benefits'!C21+'Operating Benefits'!F21</f>
        <v>1293.8359290728074</v>
      </c>
      <c r="F19" s="18">
        <f>E19*$B$10*Discounting!D24</f>
        <v>61608.491092456716</v>
      </c>
      <c r="G19" s="18">
        <f>E19*$B$16*Discounting!D24</f>
        <v>403.79541149754755</v>
      </c>
      <c r="H19" s="18">
        <f>E19*$B$22*Discounting!D24</f>
        <v>157040.78606564915</v>
      </c>
      <c r="I19" s="18">
        <f t="shared" si="1"/>
        <v>219053.07256960342</v>
      </c>
      <c r="J19" s="18">
        <f>I19*Discounting!C24</f>
        <v>74200.854432973574</v>
      </c>
      <c r="L19" s="18"/>
      <c r="M19" s="18"/>
      <c r="N19" s="18"/>
    </row>
    <row r="20" spans="1:14" x14ac:dyDescent="0.25">
      <c r="A20" t="s">
        <v>23</v>
      </c>
      <c r="B20" s="26">
        <f>B19/1000</f>
        <v>2.9166666666666664E-4</v>
      </c>
      <c r="D20" s="17">
        <f t="shared" si="0"/>
        <v>2034</v>
      </c>
      <c r="E20" s="20">
        <f>'Operating Benefits'!C22+'Operating Benefits'!F22</f>
        <v>1293.8359290728074</v>
      </c>
      <c r="F20" s="18">
        <f>E20*$B$10*Discounting!D25</f>
        <v>61608.491092456716</v>
      </c>
      <c r="G20" s="18">
        <f>E20*$B$16*Discounting!D25</f>
        <v>403.79541149754755</v>
      </c>
      <c r="H20" s="18">
        <f>E20*$B$22*Discounting!D25</f>
        <v>157040.78606564915</v>
      </c>
      <c r="I20" s="18">
        <f t="shared" si="1"/>
        <v>219053.07256960342</v>
      </c>
      <c r="J20" s="18">
        <f>I20*Discounting!C25</f>
        <v>69346.592928012702</v>
      </c>
      <c r="L20" s="18"/>
      <c r="M20" s="18"/>
      <c r="N20" s="18"/>
    </row>
    <row r="21" spans="1:14" x14ac:dyDescent="0.25">
      <c r="A21" t="s">
        <v>253</v>
      </c>
      <c r="B21" s="18">
        <f>InpC!D10</f>
        <v>416146.7</v>
      </c>
      <c r="D21" s="17">
        <f t="shared" si="0"/>
        <v>2035</v>
      </c>
      <c r="E21" s="20">
        <f>'Operating Benefits'!C23+'Operating Benefits'!F23</f>
        <v>1293.8359290728074</v>
      </c>
      <c r="F21" s="18">
        <f>E21*$B$10*Discounting!D26</f>
        <v>61608.491092456716</v>
      </c>
      <c r="G21" s="18">
        <f>E21*$B$16*Discounting!D26</f>
        <v>403.79541149754755</v>
      </c>
      <c r="H21" s="18">
        <f>E21*$B$22*Discounting!D26</f>
        <v>157040.78606564915</v>
      </c>
      <c r="I21" s="18">
        <f t="shared" si="1"/>
        <v>219053.07256960342</v>
      </c>
      <c r="J21" s="18">
        <f>I21*Discounting!C26</f>
        <v>64809.899932722139</v>
      </c>
      <c r="L21" s="18"/>
      <c r="M21" s="18"/>
      <c r="N21" s="18"/>
    </row>
    <row r="22" spans="1:14" x14ac:dyDescent="0.25">
      <c r="A22" t="s">
        <v>28</v>
      </c>
      <c r="B22" s="27">
        <f>B20*B21</f>
        <v>121.37612083333332</v>
      </c>
      <c r="D22" s="17">
        <f t="shared" si="0"/>
        <v>2036</v>
      </c>
      <c r="E22" s="20">
        <f>'Operating Benefits'!C24+'Operating Benefits'!F24</f>
        <v>1293.8359290728074</v>
      </c>
      <c r="F22" s="18">
        <f>E22*$B$10*Discounting!D27</f>
        <v>61608.491092456716</v>
      </c>
      <c r="G22" s="18">
        <f>E22*$B$16*Discounting!D27</f>
        <v>403.79541149754755</v>
      </c>
      <c r="H22" s="18">
        <f>E22*$B$22*Discounting!D27</f>
        <v>157040.78606564915</v>
      </c>
      <c r="I22" s="18">
        <f t="shared" si="1"/>
        <v>219053.07256960342</v>
      </c>
      <c r="J22" s="18">
        <f>I22*Discounting!C27</f>
        <v>60569.999937123495</v>
      </c>
      <c r="L22" s="18"/>
      <c r="M22" s="18"/>
      <c r="N22" s="18"/>
    </row>
    <row r="23" spans="1:14" x14ac:dyDescent="0.25">
      <c r="D23" s="17">
        <f t="shared" si="0"/>
        <v>2037</v>
      </c>
      <c r="E23" s="20">
        <f>'Operating Benefits'!C25+'Operating Benefits'!F25</f>
        <v>1293.8359290728074</v>
      </c>
      <c r="F23" s="18">
        <f>E23*$B$10*Discounting!D28</f>
        <v>61608.491092456716</v>
      </c>
      <c r="G23" s="18">
        <f>E23*$B$16*Discounting!D28</f>
        <v>403.79541149754755</v>
      </c>
      <c r="H23" s="18">
        <f>E23*$B$22*Discounting!D28</f>
        <v>157040.78606564915</v>
      </c>
      <c r="I23" s="18">
        <f t="shared" si="1"/>
        <v>219053.07256960342</v>
      </c>
      <c r="J23" s="18">
        <f>I23*Discounting!C28</f>
        <v>56607.476576750931</v>
      </c>
      <c r="L23" s="18"/>
      <c r="M23" s="18"/>
      <c r="N23" s="18"/>
    </row>
    <row r="24" spans="1:14" x14ac:dyDescent="0.25">
      <c r="D24" s="17">
        <f t="shared" si="0"/>
        <v>2038</v>
      </c>
      <c r="E24" s="20">
        <f>'Operating Benefits'!C26+'Operating Benefits'!F26</f>
        <v>1293.8359290728074</v>
      </c>
      <c r="F24" s="18">
        <f>E24*$B$10*Discounting!D29</f>
        <v>61608.491092456716</v>
      </c>
      <c r="G24" s="18">
        <f>E24*$B$16*Discounting!D29</f>
        <v>403.79541149754755</v>
      </c>
      <c r="H24" s="18">
        <f>E24*$B$22*Discounting!D29</f>
        <v>157040.78606564915</v>
      </c>
      <c r="I24" s="18">
        <f t="shared" si="1"/>
        <v>219053.07256960342</v>
      </c>
      <c r="J24" s="18">
        <f>I24*Discounting!C29</f>
        <v>52904.183716589658</v>
      </c>
      <c r="L24" s="18"/>
      <c r="M24" s="18"/>
      <c r="N24" s="18"/>
    </row>
    <row r="25" spans="1:14" x14ac:dyDescent="0.25">
      <c r="D25" s="17">
        <f t="shared" si="0"/>
        <v>2039</v>
      </c>
      <c r="E25" s="20">
        <f>'Operating Benefits'!C27+'Operating Benefits'!F27</f>
        <v>1293.8359290728074</v>
      </c>
      <c r="F25" s="18">
        <f>E25*$B$10*Discounting!D30</f>
        <v>61608.491092456716</v>
      </c>
      <c r="G25" s="18">
        <f>E25*$B$16*Discounting!D30</f>
        <v>403.79541149754755</v>
      </c>
      <c r="H25" s="18">
        <f>E25*$B$22*Discounting!D30</f>
        <v>157040.78606564915</v>
      </c>
      <c r="I25" s="18">
        <f t="shared" si="1"/>
        <v>219053.07256960342</v>
      </c>
      <c r="J25" s="18">
        <f>I25*Discounting!C30</f>
        <v>49443.162351952946</v>
      </c>
      <c r="L25" s="18"/>
      <c r="M25" s="18"/>
      <c r="N25" s="18"/>
    </row>
    <row r="26" spans="1:14" x14ac:dyDescent="0.25">
      <c r="D26" s="17">
        <f t="shared" si="0"/>
        <v>2040</v>
      </c>
      <c r="E26" s="20">
        <f>'Operating Benefits'!C28+'Operating Benefits'!F28</f>
        <v>1293.8359290728074</v>
      </c>
      <c r="F26" s="18">
        <f>E26*$B$10*Discounting!D31</f>
        <v>61608.491092456716</v>
      </c>
      <c r="G26" s="18">
        <f>E26*$B$16*Discounting!D31</f>
        <v>403.79541149754755</v>
      </c>
      <c r="H26" s="18">
        <f>E26*$B$22*Discounting!D31</f>
        <v>157040.78606564915</v>
      </c>
      <c r="I26" s="18">
        <f t="shared" si="1"/>
        <v>219053.07256960342</v>
      </c>
      <c r="J26" s="18">
        <f>I26*Discounting!C31</f>
        <v>46208.562945750418</v>
      </c>
      <c r="L26" s="18"/>
      <c r="M26" s="18"/>
      <c r="N26" s="18"/>
    </row>
    <row r="27" spans="1:14" x14ac:dyDescent="0.25">
      <c r="D27" s="17">
        <f t="shared" si="0"/>
        <v>2041</v>
      </c>
      <c r="E27" s="20">
        <f>'Operating Benefits'!C29+'Operating Benefits'!F29</f>
        <v>1293.8359290728074</v>
      </c>
      <c r="F27" s="18">
        <f>E27*$B$10*Discounting!D32</f>
        <v>61608.491092456716</v>
      </c>
      <c r="G27" s="18">
        <f>E27*$B$16*Discounting!D32</f>
        <v>403.79541149754755</v>
      </c>
      <c r="H27" s="18">
        <f>E27*$B$22*Discounting!D32</f>
        <v>157040.78606564915</v>
      </c>
      <c r="I27" s="18">
        <f t="shared" si="1"/>
        <v>219053.07256960342</v>
      </c>
      <c r="J27" s="18">
        <f>I27*Discounting!C32</f>
        <v>43185.572846495714</v>
      </c>
      <c r="L27" s="18"/>
      <c r="M27" s="18"/>
      <c r="N27" s="18"/>
    </row>
    <row r="28" spans="1:14" x14ac:dyDescent="0.25">
      <c r="D28" s="17">
        <f t="shared" si="0"/>
        <v>2042</v>
      </c>
      <c r="E28" s="20">
        <f>'Operating Benefits'!C30+'Operating Benefits'!F30</f>
        <v>1293.8359290728074</v>
      </c>
      <c r="F28" s="18">
        <f>E28*$B$10*Discounting!D33</f>
        <v>61608.491092456716</v>
      </c>
      <c r="G28" s="18">
        <f>E28*$B$16*Discounting!D33</f>
        <v>403.79541149754755</v>
      </c>
      <c r="H28" s="18">
        <f>E28*$B$22*Discounting!D33</f>
        <v>157040.78606564915</v>
      </c>
      <c r="I28" s="18">
        <f t="shared" si="1"/>
        <v>219053.07256960342</v>
      </c>
      <c r="J28" s="18">
        <f>I28*Discounting!C33</f>
        <v>40360.348454668885</v>
      </c>
      <c r="L28" s="18"/>
      <c r="M28" s="18"/>
      <c r="N28" s="18"/>
    </row>
    <row r="29" spans="1:14" x14ac:dyDescent="0.25">
      <c r="D29" s="17">
        <f t="shared" si="0"/>
        <v>2043</v>
      </c>
      <c r="E29" s="20">
        <f>'Operating Benefits'!C31+'Operating Benefits'!F31</f>
        <v>1293.8359290728074</v>
      </c>
      <c r="F29" s="18">
        <f>E29*$B$10*Discounting!D34</f>
        <v>61608.491092456716</v>
      </c>
      <c r="G29" s="18">
        <f>E29*$B$16*Discounting!D34</f>
        <v>403.79541149754755</v>
      </c>
      <c r="H29" s="18">
        <f>E29*$B$22*Discounting!D34</f>
        <v>157040.78606564915</v>
      </c>
      <c r="I29" s="18">
        <f t="shared" si="1"/>
        <v>219053.07256960342</v>
      </c>
      <c r="J29" s="18">
        <f>I29*Discounting!C34</f>
        <v>37719.95182679336</v>
      </c>
      <c r="L29" s="18"/>
      <c r="M29" s="18"/>
      <c r="N29" s="18"/>
    </row>
    <row r="30" spans="1:14" x14ac:dyDescent="0.25">
      <c r="D30" s="17">
        <f t="shared" si="0"/>
        <v>2044</v>
      </c>
      <c r="E30" s="20">
        <f>'Operating Benefits'!C32+'Operating Benefits'!F32</f>
        <v>1293.8359290728074</v>
      </c>
      <c r="F30" s="18">
        <f>E30*$B$10*Discounting!D35</f>
        <v>61608.491092456716</v>
      </c>
      <c r="G30" s="18">
        <f>E30*$B$16*Discounting!D35</f>
        <v>403.79541149754755</v>
      </c>
      <c r="H30" s="18">
        <f>E30*$B$22*Discounting!D35</f>
        <v>157040.78606564915</v>
      </c>
      <c r="I30" s="18">
        <f t="shared" si="1"/>
        <v>219053.07256960342</v>
      </c>
      <c r="J30" s="18">
        <f>I30*Discounting!C35</f>
        <v>35252.291426909673</v>
      </c>
      <c r="L30" s="18"/>
      <c r="M30" s="18"/>
      <c r="N30" s="18"/>
    </row>
    <row r="31" spans="1:14" x14ac:dyDescent="0.25">
      <c r="D31" s="17">
        <f t="shared" si="0"/>
        <v>2045</v>
      </c>
      <c r="E31" s="20">
        <f>'Operating Benefits'!C33+'Operating Benefits'!F33</f>
        <v>1293.8359290728074</v>
      </c>
      <c r="F31" s="18">
        <f>E31*$B$10*Discounting!D36</f>
        <v>61608.491092456716</v>
      </c>
      <c r="G31" s="18">
        <f>E31*$B$16*Discounting!D36</f>
        <v>403.79541149754755</v>
      </c>
      <c r="H31" s="18">
        <f>E31*$B$22*Discounting!D36</f>
        <v>157040.78606564915</v>
      </c>
      <c r="I31" s="18">
        <f t="shared" si="1"/>
        <v>219053.07256960342</v>
      </c>
      <c r="J31" s="18">
        <f>I31*Discounting!C36</f>
        <v>32946.066754121195</v>
      </c>
      <c r="L31" s="18"/>
      <c r="M31" s="18"/>
      <c r="N31" s="18"/>
    </row>
    <row r="32" spans="1:14" x14ac:dyDescent="0.25">
      <c r="D32" s="17">
        <f t="shared" si="0"/>
        <v>2046</v>
      </c>
      <c r="E32" s="20">
        <f>'Operating Benefits'!C34+'Operating Benefits'!F34</f>
        <v>1293.8359290728074</v>
      </c>
      <c r="F32" s="18">
        <f>E32*$B$10*Discounting!D37</f>
        <v>61608.491092456716</v>
      </c>
      <c r="G32" s="18">
        <f>E32*$B$16*Discounting!D37</f>
        <v>403.79541149754755</v>
      </c>
      <c r="H32" s="18">
        <f>E32*$B$22*Discounting!D37</f>
        <v>157040.78606564915</v>
      </c>
      <c r="I32" s="18">
        <f t="shared" si="1"/>
        <v>219053.07256960342</v>
      </c>
      <c r="J32" s="18">
        <f>I32*Discounting!C37</f>
        <v>30790.716592636632</v>
      </c>
      <c r="L32" s="18"/>
      <c r="M32" s="18"/>
      <c r="N32" s="18"/>
    </row>
    <row r="33" spans="4:15" x14ac:dyDescent="0.25">
      <c r="D33" s="17">
        <f t="shared" si="0"/>
        <v>2047</v>
      </c>
      <c r="E33" s="20">
        <f>'Operating Benefits'!C35+'Operating Benefits'!F35</f>
        <v>1293.8359290728074</v>
      </c>
      <c r="F33" s="18">
        <f>E33*$B$10*Discounting!D38</f>
        <v>61608.491092456716</v>
      </c>
      <c r="G33" s="18">
        <f>E33*$B$16*Discounting!D38</f>
        <v>403.79541149754755</v>
      </c>
      <c r="H33" s="18">
        <f>E33*$B$22*Discounting!D38</f>
        <v>157040.78606564915</v>
      </c>
      <c r="I33" s="18">
        <f t="shared" si="1"/>
        <v>219053.07256960342</v>
      </c>
      <c r="J33" s="18">
        <f>I33*Discounting!C38</f>
        <v>28776.370647323958</v>
      </c>
      <c r="L33" s="18"/>
      <c r="M33" s="18"/>
      <c r="N33" s="18"/>
    </row>
    <row r="34" spans="4:15" x14ac:dyDescent="0.25">
      <c r="D34" s="17">
        <f t="shared" si="0"/>
        <v>2048</v>
      </c>
      <c r="E34" s="20">
        <f>'Operating Benefits'!C36+'Operating Benefits'!F36</f>
        <v>1293.8359290728074</v>
      </c>
      <c r="F34" s="18">
        <f>E34*$B$10*Discounting!D39</f>
        <v>0</v>
      </c>
      <c r="G34" s="18">
        <f>E34*$B$16*Discounting!D39</f>
        <v>0</v>
      </c>
      <c r="H34" s="18">
        <f>E34*$B$22*Discounting!D39</f>
        <v>0</v>
      </c>
      <c r="I34" s="18">
        <f t="shared" si="1"/>
        <v>0</v>
      </c>
      <c r="J34" s="18">
        <f>I34*Discounting!C39</f>
        <v>0</v>
      </c>
      <c r="L34" s="18"/>
      <c r="M34" s="18"/>
      <c r="N34" s="18"/>
    </row>
    <row r="35" spans="4:15" x14ac:dyDescent="0.25">
      <c r="D35" s="17">
        <f t="shared" si="0"/>
        <v>2049</v>
      </c>
      <c r="E35" s="20">
        <f>'Operating Benefits'!C37+'Operating Benefits'!F37</f>
        <v>1293.8359290728074</v>
      </c>
      <c r="F35" s="18">
        <f>E35*$B$10*Discounting!D40</f>
        <v>0</v>
      </c>
      <c r="G35" s="18">
        <f>E35*$B$16*Discounting!D40</f>
        <v>0</v>
      </c>
      <c r="H35" s="18">
        <f>E35*$B$22*Discounting!D40</f>
        <v>0</v>
      </c>
      <c r="I35" s="18">
        <f t="shared" si="1"/>
        <v>0</v>
      </c>
      <c r="J35" s="18">
        <f>I35*Discounting!C40</f>
        <v>0</v>
      </c>
      <c r="L35" s="18"/>
      <c r="M35" s="18"/>
      <c r="N35" s="18"/>
    </row>
    <row r="36" spans="4:15" x14ac:dyDescent="0.25">
      <c r="D36" s="17">
        <f t="shared" si="0"/>
        <v>2050</v>
      </c>
      <c r="E36" s="20">
        <f>'Operating Benefits'!C38+'Operating Benefits'!F38</f>
        <v>1293.8359290728074</v>
      </c>
      <c r="F36" s="18">
        <f>E36*$B$10*Discounting!D41</f>
        <v>0</v>
      </c>
      <c r="G36" s="18">
        <f>E36*$B$16*Discounting!D41</f>
        <v>0</v>
      </c>
      <c r="H36" s="18">
        <f>E36*$B$22*Discounting!D41</f>
        <v>0</v>
      </c>
      <c r="I36" s="18">
        <f t="shared" si="1"/>
        <v>0</v>
      </c>
      <c r="J36" s="18">
        <f>I36*Discounting!C41</f>
        <v>0</v>
      </c>
      <c r="L36" s="18"/>
      <c r="M36" s="18"/>
      <c r="N36" s="18"/>
    </row>
    <row r="37" spans="4:15" x14ac:dyDescent="0.25">
      <c r="D37" s="17">
        <f t="shared" si="0"/>
        <v>2051</v>
      </c>
      <c r="E37" s="20">
        <f>'Operating Benefits'!C39+'Operating Benefits'!F39</f>
        <v>1293.8359290728074</v>
      </c>
      <c r="F37" s="18">
        <f>E37*$B$10*Discounting!D42</f>
        <v>0</v>
      </c>
      <c r="G37" s="18">
        <f>E37*$B$16*Discounting!D42</f>
        <v>0</v>
      </c>
      <c r="H37" s="18">
        <f>E37*$B$22*Discounting!D42</f>
        <v>0</v>
      </c>
      <c r="I37" s="18">
        <f t="shared" si="1"/>
        <v>0</v>
      </c>
      <c r="J37" s="18">
        <f>I37*Discounting!C42</f>
        <v>0</v>
      </c>
      <c r="L37" s="18"/>
      <c r="M37" s="18"/>
      <c r="N37" s="18"/>
    </row>
    <row r="38" spans="4:15" x14ac:dyDescent="0.25">
      <c r="E38" s="20">
        <f>SUM(E8:E37)</f>
        <v>37779.901954688023</v>
      </c>
      <c r="F38" s="18">
        <f t="shared" ref="F38:H38" si="2">SUM(F3:F37)</f>
        <v>1552690.0006888891</v>
      </c>
      <c r="G38" s="18">
        <f t="shared" si="2"/>
        <v>10176.666992466928</v>
      </c>
      <c r="H38" s="18">
        <f t="shared" si="2"/>
        <v>3957825.5188644198</v>
      </c>
      <c r="I38" s="18">
        <f>SUM(I3:I37)</f>
        <v>5520692.1865457734</v>
      </c>
      <c r="J38" s="18">
        <f>SUM(J3:J37)</f>
        <v>1814953.9828512978</v>
      </c>
      <c r="L38" s="18"/>
      <c r="M38" s="18"/>
      <c r="N38" s="18"/>
      <c r="O38" s="18"/>
    </row>
    <row r="41" spans="4:15" x14ac:dyDescent="0.25">
      <c r="J41" s="1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opLeftCell="A16" workbookViewId="0">
      <selection activeCell="G42" sqref="G42"/>
    </sheetView>
  </sheetViews>
  <sheetFormatPr defaultRowHeight="15" x14ac:dyDescent="0.25"/>
  <cols>
    <col min="1" max="1" width="51" customWidth="1"/>
    <col min="2" max="2" width="12.140625" customWidth="1"/>
    <col min="7" max="7" width="10.5703125" customWidth="1"/>
    <col min="8" max="8" width="15" customWidth="1"/>
    <col min="9" max="9" width="14.7109375" customWidth="1"/>
    <col min="11" max="11" width="13.85546875" bestFit="1" customWidth="1"/>
    <col min="12" max="12" width="14.85546875" bestFit="1" customWidth="1"/>
    <col min="15" max="15" width="16" customWidth="1"/>
    <col min="16" max="16" width="11.5703125" customWidth="1"/>
    <col min="17" max="17" width="17.28515625" customWidth="1"/>
    <col min="18" max="18" width="15" customWidth="1"/>
    <col min="19" max="19" width="15.140625" customWidth="1"/>
    <col min="25" max="25" width="14.85546875" customWidth="1"/>
    <col min="26" max="26" width="13.85546875" bestFit="1" customWidth="1"/>
    <col min="27" max="27" width="11" customWidth="1"/>
    <col min="29" max="29" width="8.85546875" bestFit="1" customWidth="1"/>
    <col min="30" max="30" width="11.42578125" customWidth="1"/>
    <col min="32" max="32" width="13" customWidth="1"/>
    <col min="33" max="33" width="11.140625" customWidth="1"/>
    <col min="34" max="34" width="11.28515625" customWidth="1"/>
    <col min="36" max="36" width="10.85546875" customWidth="1"/>
    <col min="39" max="39" width="11.85546875" customWidth="1"/>
    <col min="40" max="40" width="11" customWidth="1"/>
    <col min="42" max="42" width="11.42578125" customWidth="1"/>
    <col min="45" max="45" width="12.140625" customWidth="1"/>
  </cols>
  <sheetData>
    <row r="1" spans="1:45" x14ac:dyDescent="0.25">
      <c r="A1" t="s">
        <v>98</v>
      </c>
      <c r="B1" s="20">
        <v>200000</v>
      </c>
      <c r="N1" s="196" t="s">
        <v>225</v>
      </c>
      <c r="T1" t="s">
        <v>214</v>
      </c>
    </row>
    <row r="2" spans="1:45" x14ac:dyDescent="0.25">
      <c r="G2" s="20"/>
      <c r="O2" t="s">
        <v>206</v>
      </c>
      <c r="Q2" t="s">
        <v>209</v>
      </c>
      <c r="U2" s="20">
        <f>7500*20/2/1.7</f>
        <v>44117.647058823532</v>
      </c>
      <c r="V2" t="s">
        <v>222</v>
      </c>
      <c r="AC2" t="s">
        <v>87</v>
      </c>
      <c r="AJ2" t="s">
        <v>216</v>
      </c>
      <c r="AP2" t="s">
        <v>64</v>
      </c>
    </row>
    <row r="3" spans="1:45" x14ac:dyDescent="0.25">
      <c r="A3" t="s">
        <v>37</v>
      </c>
      <c r="B3">
        <v>8</v>
      </c>
      <c r="G3" t="s">
        <v>41</v>
      </c>
      <c r="N3" t="s">
        <v>205</v>
      </c>
      <c r="O3" t="s">
        <v>207</v>
      </c>
      <c r="P3" t="s">
        <v>208</v>
      </c>
      <c r="Q3" t="s">
        <v>210</v>
      </c>
      <c r="R3" t="s">
        <v>211</v>
      </c>
      <c r="U3" t="s">
        <v>214</v>
      </c>
      <c r="V3" t="s">
        <v>221</v>
      </c>
      <c r="W3" t="s">
        <v>214</v>
      </c>
      <c r="X3" t="s">
        <v>59</v>
      </c>
      <c r="Y3" t="s">
        <v>40</v>
      </c>
      <c r="Z3" t="s">
        <v>10</v>
      </c>
      <c r="AA3" t="s">
        <v>8</v>
      </c>
      <c r="AC3" t="s">
        <v>31</v>
      </c>
      <c r="AD3" t="s">
        <v>30</v>
      </c>
      <c r="AE3" t="s">
        <v>215</v>
      </c>
      <c r="AF3" t="s">
        <v>32</v>
      </c>
      <c r="AG3" t="s">
        <v>10</v>
      </c>
      <c r="AH3" t="s">
        <v>8</v>
      </c>
      <c r="AJ3" t="s">
        <v>77</v>
      </c>
      <c r="AK3" t="s">
        <v>95</v>
      </c>
      <c r="AL3" t="s">
        <v>96</v>
      </c>
      <c r="AM3" t="s">
        <v>10</v>
      </c>
      <c r="AN3" t="s">
        <v>8</v>
      </c>
      <c r="AP3" t="s">
        <v>10</v>
      </c>
      <c r="AQ3" t="s">
        <v>8</v>
      </c>
      <c r="AS3" t="s">
        <v>52</v>
      </c>
    </row>
    <row r="4" spans="1:45" x14ac:dyDescent="0.25">
      <c r="E4" t="s">
        <v>38</v>
      </c>
      <c r="F4" t="s">
        <v>39</v>
      </c>
      <c r="G4" t="s">
        <v>40</v>
      </c>
      <c r="H4" t="s">
        <v>10</v>
      </c>
      <c r="I4" t="s">
        <v>8</v>
      </c>
      <c r="N4" t="s">
        <v>189</v>
      </c>
      <c r="O4" t="s">
        <v>190</v>
      </c>
      <c r="P4" s="218">
        <v>952065</v>
      </c>
      <c r="Q4">
        <v>0</v>
      </c>
      <c r="R4" s="20">
        <f t="shared" ref="R4:R5" si="0">P4*Q4</f>
        <v>0</v>
      </c>
      <c r="T4">
        <v>2017</v>
      </c>
      <c r="Z4" s="18">
        <f>Y4*$B$9*Discounting!D8</f>
        <v>0</v>
      </c>
      <c r="AA4" s="18">
        <f>Discounting!C8*Z4</f>
        <v>0</v>
      </c>
      <c r="AC4" s="81">
        <f>(($Y4*'Truck Emissions'!D7)*'Truck Emissions'!$C$2)*'Truck Emissions'!P$6*Discounting!$D8</f>
        <v>0</v>
      </c>
      <c r="AD4" s="81">
        <f>(($Y4*'Truck Emissions'!E7)*'Truck Emissions'!$C$2)*'Truck Emissions'!Q$6*Discounting!$D8</f>
        <v>0</v>
      </c>
      <c r="AE4" s="81">
        <f>(($Y4*'Truck Emissions'!F7)*'Truck Emissions'!$C$2)*'Truck Emissions'!R$6*Discounting!$D8</f>
        <v>0</v>
      </c>
      <c r="AF4" s="81">
        <f>(($Y4*'Truck Emissions'!G7)*'Truck Emissions'!$C$2)*'Truck Emissions'!S$6*Discounting!$D8</f>
        <v>0</v>
      </c>
      <c r="AG4" s="81">
        <f>SUM(AC4:AF4)</f>
        <v>0</v>
      </c>
      <c r="AH4" s="81">
        <f>AG4*Discounting!C8</f>
        <v>0</v>
      </c>
      <c r="AJ4" s="81">
        <f>$Y4*('Truck Crashes'!D$4/100000000)*'Truck Crashes'!G$4*Discounting!$D8</f>
        <v>0</v>
      </c>
      <c r="AK4" s="81">
        <f>$Y4*('Truck Crashes'!E$4/100000000)*'Truck Crashes'!H$4*Discounting!$D8</f>
        <v>0</v>
      </c>
      <c r="AL4" s="81">
        <f>$Y4*('Truck Crashes'!F$4/100000000)*'Truck Crashes'!I$4*Discounting!$D8</f>
        <v>0</v>
      </c>
      <c r="AM4" s="81">
        <f>SUM(AJ4:AL4)</f>
        <v>0</v>
      </c>
      <c r="AN4" s="81">
        <f>AM4*Discounting!C8</f>
        <v>0</v>
      </c>
      <c r="AP4" s="81">
        <f>Y4*'Truck Pavement'!$C$4*Discounting!D8</f>
        <v>0</v>
      </c>
      <c r="AQ4" s="81">
        <f>AP4*Discounting!C8</f>
        <v>0</v>
      </c>
      <c r="AS4" s="18">
        <f>AA4+AH4+AN4+AQ4</f>
        <v>0</v>
      </c>
    </row>
    <row r="5" spans="1:45" x14ac:dyDescent="0.25">
      <c r="A5" t="s">
        <v>213</v>
      </c>
      <c r="B5">
        <f>ROUND(P19,1)</f>
        <v>35.9</v>
      </c>
      <c r="D5">
        <v>2017</v>
      </c>
      <c r="E5" s="20">
        <f>'VMT Build'!C9</f>
        <v>164901</v>
      </c>
      <c r="F5" s="20">
        <f>E5-'VMT No Build'!F12</f>
        <v>0</v>
      </c>
      <c r="G5" s="29">
        <f>IF(SUM(Discounting!$D$8:D8)&gt;5,(F5/$B$3)*($B$5*(1+$B$7)),F5/$B$3*$B$13)</f>
        <v>0</v>
      </c>
      <c r="H5" s="18">
        <f>IF(SUM(Discounting!$D$8:D8)&gt;5,G5*$B$9*Discounting!D8,'Truck Diversion Impacts'!F5*'Truck Diversion Impacts'!$B$11*Discounting!D8)</f>
        <v>0</v>
      </c>
      <c r="I5" s="18">
        <f>H5*Discounting!C8</f>
        <v>0</v>
      </c>
      <c r="N5" t="s">
        <v>191</v>
      </c>
      <c r="O5" t="s">
        <v>190</v>
      </c>
      <c r="P5" s="20">
        <v>12784227</v>
      </c>
      <c r="Q5">
        <v>0</v>
      </c>
      <c r="R5" s="20">
        <f t="shared" si="0"/>
        <v>0</v>
      </c>
      <c r="T5">
        <v>2018</v>
      </c>
      <c r="U5" s="20">
        <f>581076/1.7</f>
        <v>341809.4117647059</v>
      </c>
      <c r="V5" s="20">
        <f>900000/1.7</f>
        <v>529411.76470588241</v>
      </c>
      <c r="W5" s="20">
        <f>IF(U5&gt;V5,U5-V5,0)</f>
        <v>0</v>
      </c>
      <c r="Z5" s="18">
        <f>Y5*$B$9*Discounting!D9</f>
        <v>0</v>
      </c>
      <c r="AA5" s="18">
        <f>Discounting!C9*Z5</f>
        <v>0</v>
      </c>
      <c r="AC5" s="81">
        <f>(($Y5*'Truck Emissions'!D8)*'Truck Emissions'!$C$2)*'Truck Emissions'!P$6*Discounting!$D9</f>
        <v>0</v>
      </c>
      <c r="AD5" s="81">
        <f>(($Y5*'Truck Emissions'!E8)*'Truck Emissions'!$C$2)*'Truck Emissions'!Q$6*Discounting!$D9</f>
        <v>0</v>
      </c>
      <c r="AE5" s="81">
        <f>(($Y5*'Truck Emissions'!F8)*'Truck Emissions'!$C$2)*'Truck Emissions'!R$6*Discounting!$D9</f>
        <v>0</v>
      </c>
      <c r="AF5" s="81">
        <f>(($Y5*'Truck Emissions'!G8)*'Truck Emissions'!$C$2)*'Truck Emissions'!S$6*Discounting!$D9</f>
        <v>0</v>
      </c>
      <c r="AG5" s="81">
        <f t="shared" ref="AG5:AG38" si="1">SUM(AC5:AF5)</f>
        <v>0</v>
      </c>
      <c r="AH5" s="81">
        <f>AG5*Discounting!C9</f>
        <v>0</v>
      </c>
      <c r="AJ5" s="81">
        <f>$Y5*('Truck Crashes'!D$4/100000000)*'Truck Crashes'!G$4*Discounting!$D9</f>
        <v>0</v>
      </c>
      <c r="AK5" s="81">
        <f>$Y5*('Truck Crashes'!E$4/100000000)*'Truck Crashes'!H$4*Discounting!$D9</f>
        <v>0</v>
      </c>
      <c r="AL5" s="81">
        <f>$Y5*('Truck Crashes'!F$4/100000000)*'Truck Crashes'!I$4*Discounting!$D9</f>
        <v>0</v>
      </c>
      <c r="AM5" s="81">
        <f t="shared" ref="AM5:AM38" si="2">SUM(AJ5:AL5)</f>
        <v>0</v>
      </c>
      <c r="AN5" s="81">
        <f>AM5*Discounting!C9</f>
        <v>0</v>
      </c>
      <c r="AP5" s="81">
        <f>Y5*'Truck Pavement'!$C$4*Discounting!D9</f>
        <v>0</v>
      </c>
      <c r="AQ5" s="81">
        <f>AP5*Discounting!C9</f>
        <v>0</v>
      </c>
      <c r="AS5" s="18">
        <f t="shared" ref="AS5:AS38" si="3">AA5+AH5+AN5+AQ5</f>
        <v>0</v>
      </c>
    </row>
    <row r="6" spans="1:45" x14ac:dyDescent="0.25">
      <c r="D6">
        <v>2018</v>
      </c>
      <c r="E6" s="20">
        <f>'VMT Build'!C10</f>
        <v>141999</v>
      </c>
      <c r="F6" s="20">
        <f>E6-'VMT No Build'!F13</f>
        <v>0</v>
      </c>
      <c r="G6" s="29">
        <f>IF(SUM(Discounting!$D$8:D9)&gt;5,(F6/$B$3)*($B$5*(1+$B$7)),F6/$B$3*$B$13)</f>
        <v>0</v>
      </c>
      <c r="H6" s="18">
        <f>IF(SUM(Discounting!$D$8:D9)&gt;5,G6*$B$9*Discounting!D9,'Truck Diversion Impacts'!F6*'Truck Diversion Impacts'!$B$11*Discounting!D9)</f>
        <v>0</v>
      </c>
      <c r="I6" s="18">
        <f>H6*Discounting!C9</f>
        <v>0</v>
      </c>
      <c r="N6" t="s">
        <v>192</v>
      </c>
      <c r="O6" t="s">
        <v>193</v>
      </c>
      <c r="P6" s="20">
        <v>3576452</v>
      </c>
      <c r="Q6">
        <v>98</v>
      </c>
      <c r="R6" s="20">
        <f>P6*Q6</f>
        <v>350492296</v>
      </c>
      <c r="T6">
        <v>2019</v>
      </c>
      <c r="U6" s="20">
        <f>IF(U5*1.05&gt;(V6+$U$2),V6+$U$2,U5*1.05)</f>
        <v>358899.8823529412</v>
      </c>
      <c r="V6" s="20">
        <f>900000/1.7</f>
        <v>529411.76470588241</v>
      </c>
      <c r="W6" s="20">
        <f t="shared" ref="W6:W38" si="4">IF(U6&gt;V6,U6-V6,0)</f>
        <v>0</v>
      </c>
      <c r="Z6" s="18">
        <f>Y6*$B$9*Discounting!D10</f>
        <v>0</v>
      </c>
      <c r="AA6" s="18">
        <f>Discounting!C10*Z6</f>
        <v>0</v>
      </c>
      <c r="AC6" s="81">
        <f>(($Y6*'Truck Emissions'!D9)*'Truck Emissions'!$C$2)*'Truck Emissions'!P$6*Discounting!$D10</f>
        <v>0</v>
      </c>
      <c r="AD6" s="81">
        <f>(($Y6*'Truck Emissions'!E9)*'Truck Emissions'!$C$2)*'Truck Emissions'!Q$6*Discounting!$D10</f>
        <v>0</v>
      </c>
      <c r="AE6" s="81">
        <f>(($Y6*'Truck Emissions'!F9)*'Truck Emissions'!$C$2)*'Truck Emissions'!R$6*Discounting!$D10</f>
        <v>0</v>
      </c>
      <c r="AF6" s="81">
        <f>(($Y6*'Truck Emissions'!G9)*'Truck Emissions'!$C$2)*'Truck Emissions'!S$6*Discounting!$D10</f>
        <v>0</v>
      </c>
      <c r="AG6" s="81">
        <f t="shared" si="1"/>
        <v>0</v>
      </c>
      <c r="AH6" s="81">
        <f>AG6*Discounting!C10</f>
        <v>0</v>
      </c>
      <c r="AJ6" s="81">
        <f>$Y6*('Truck Crashes'!D$4/100000000)*'Truck Crashes'!G$4*Discounting!$D10</f>
        <v>0</v>
      </c>
      <c r="AK6" s="81">
        <f>$Y6*('Truck Crashes'!E$4/100000000)*'Truck Crashes'!H$4*Discounting!$D10</f>
        <v>0</v>
      </c>
      <c r="AL6" s="81">
        <f>$Y6*('Truck Crashes'!F$4/100000000)*'Truck Crashes'!I$4*Discounting!$D10</f>
        <v>0</v>
      </c>
      <c r="AM6" s="81">
        <f t="shared" si="2"/>
        <v>0</v>
      </c>
      <c r="AN6" s="81">
        <f>AM6*Discounting!C10</f>
        <v>0</v>
      </c>
      <c r="AP6" s="81">
        <f>Y6*'Truck Pavement'!$C$4*Discounting!D10</f>
        <v>0</v>
      </c>
      <c r="AQ6" s="81">
        <f>AP6*Discounting!C10</f>
        <v>0</v>
      </c>
      <c r="AS6" s="18">
        <f t="shared" si="3"/>
        <v>0</v>
      </c>
    </row>
    <row r="7" spans="1:45" x14ac:dyDescent="0.25">
      <c r="A7" t="s">
        <v>91</v>
      </c>
      <c r="B7" s="30">
        <v>1</v>
      </c>
      <c r="D7">
        <v>2019</v>
      </c>
      <c r="E7" s="20">
        <f>'VMT Build'!C11</f>
        <v>149098.95000000001</v>
      </c>
      <c r="F7" s="20">
        <f>E7-'VMT No Build'!F14</f>
        <v>0</v>
      </c>
      <c r="G7" s="29">
        <f>IF(SUM(Discounting!$D$8:D10)&gt;5,(F7/$B$3)*($B$5*(1+$B$7)),F7/$B$3*$B$13)</f>
        <v>0</v>
      </c>
      <c r="H7" s="18">
        <f>IF(SUM(Discounting!$D$8:D10)&gt;5,G7*$B$9*Discounting!D10,'Truck Diversion Impacts'!F7*'Truck Diversion Impacts'!$B$11*Discounting!D10)</f>
        <v>0</v>
      </c>
      <c r="I7" s="18">
        <f>H7*Discounting!C10</f>
        <v>0</v>
      </c>
      <c r="N7" t="s">
        <v>194</v>
      </c>
      <c r="O7" t="s">
        <v>193</v>
      </c>
      <c r="P7" s="20">
        <v>1331479</v>
      </c>
      <c r="Q7">
        <v>98</v>
      </c>
      <c r="R7" s="20">
        <f t="shared" ref="R7:R17" si="5">P7*Q7</f>
        <v>130484942</v>
      </c>
      <c r="T7">
        <v>2020</v>
      </c>
      <c r="U7" s="20">
        <f t="shared" ref="U7:U38" si="6">IF(U6*1.05&gt;(V7+$U$2),V7+$U$2,U6*1.05)</f>
        <v>376844.87647058826</v>
      </c>
      <c r="V7" s="20">
        <f t="shared" ref="V7:V38" si="7">900000/1.7</f>
        <v>529411.76470588241</v>
      </c>
      <c r="W7" s="20">
        <f t="shared" si="4"/>
        <v>0</v>
      </c>
      <c r="Z7" s="18">
        <f>Y7*$B$9*Discounting!D11</f>
        <v>0</v>
      </c>
      <c r="AA7" s="18">
        <f>Discounting!C11*Z7</f>
        <v>0</v>
      </c>
      <c r="AC7" s="81">
        <f>(($Y7*'Truck Emissions'!D10)*'Truck Emissions'!$C$2)*'Truck Emissions'!P$6*Discounting!$D11</f>
        <v>0</v>
      </c>
      <c r="AD7" s="81">
        <f>(($Y7*'Truck Emissions'!E10)*'Truck Emissions'!$C$2)*'Truck Emissions'!Q$6*Discounting!$D11</f>
        <v>0</v>
      </c>
      <c r="AE7" s="81">
        <f>(($Y7*'Truck Emissions'!F10)*'Truck Emissions'!$C$2)*'Truck Emissions'!R$6*Discounting!$D11</f>
        <v>0</v>
      </c>
      <c r="AF7" s="81">
        <f>(($Y7*'Truck Emissions'!G10)*'Truck Emissions'!$C$2)*'Truck Emissions'!S$6*Discounting!$D11</f>
        <v>0</v>
      </c>
      <c r="AG7" s="81">
        <f t="shared" si="1"/>
        <v>0</v>
      </c>
      <c r="AH7" s="81">
        <f>AG7*Discounting!C11</f>
        <v>0</v>
      </c>
      <c r="AJ7" s="81">
        <f>$Y7*('Truck Crashes'!D$4/100000000)*'Truck Crashes'!G$4*Discounting!$D11</f>
        <v>0</v>
      </c>
      <c r="AK7" s="81">
        <f>$Y7*('Truck Crashes'!E$4/100000000)*'Truck Crashes'!H$4*Discounting!$D11</f>
        <v>0</v>
      </c>
      <c r="AL7" s="81">
        <f>$Y7*('Truck Crashes'!F$4/100000000)*'Truck Crashes'!I$4*Discounting!$D11</f>
        <v>0</v>
      </c>
      <c r="AM7" s="81">
        <f t="shared" si="2"/>
        <v>0</v>
      </c>
      <c r="AN7" s="81">
        <f>AM7*Discounting!C11</f>
        <v>0</v>
      </c>
      <c r="AP7" s="81">
        <f>Y7*'Truck Pavement'!$C$4*Discounting!D11</f>
        <v>0</v>
      </c>
      <c r="AQ7" s="81">
        <f>AP7*Discounting!C11</f>
        <v>0</v>
      </c>
      <c r="AS7" s="18">
        <f t="shared" si="3"/>
        <v>0</v>
      </c>
    </row>
    <row r="8" spans="1:45" x14ac:dyDescent="0.25">
      <c r="D8">
        <v>2020</v>
      </c>
      <c r="E8" s="20">
        <f>'VMT Build'!C12</f>
        <v>194098.95</v>
      </c>
      <c r="F8" s="20">
        <f>E8-'VMT No Build'!F15</f>
        <v>0</v>
      </c>
      <c r="G8" s="29">
        <f>IF(SUM(Discounting!$D$8:D11)&gt;5,(F8/$B$3)*($B$5*(1+$B$7)),F8/$B$3*$B$13)</f>
        <v>0</v>
      </c>
      <c r="H8" s="18">
        <f>IF(SUM(Discounting!$D$8:D11)&gt;5,G8*$B$9*Discounting!D11,'Truck Diversion Impacts'!F8*'Truck Diversion Impacts'!$B$11*Discounting!D11)</f>
        <v>0</v>
      </c>
      <c r="I8" s="18">
        <f>H8*Discounting!C11</f>
        <v>0</v>
      </c>
      <c r="N8" t="s">
        <v>195</v>
      </c>
      <c r="O8" t="s">
        <v>193</v>
      </c>
      <c r="P8" s="20">
        <v>6811779</v>
      </c>
      <c r="Q8">
        <v>98</v>
      </c>
      <c r="R8" s="20">
        <f t="shared" si="5"/>
        <v>667554342</v>
      </c>
      <c r="T8">
        <v>2021</v>
      </c>
      <c r="U8" s="20">
        <f t="shared" si="6"/>
        <v>395687.12029411772</v>
      </c>
      <c r="V8" s="20">
        <f t="shared" si="7"/>
        <v>529411.76470588241</v>
      </c>
      <c r="W8" s="20">
        <f t="shared" si="4"/>
        <v>0</v>
      </c>
      <c r="Z8" s="18">
        <f>Y8*$B$9*Discounting!D12</f>
        <v>0</v>
      </c>
      <c r="AA8" s="18">
        <f>Discounting!C12*Z8</f>
        <v>0</v>
      </c>
      <c r="AC8" s="81">
        <f>(($Y8*'Truck Emissions'!D11)*'Truck Emissions'!$C$2)*'Truck Emissions'!P$6*Discounting!$D12</f>
        <v>0</v>
      </c>
      <c r="AD8" s="81">
        <f>(($Y8*'Truck Emissions'!E11)*'Truck Emissions'!$C$2)*'Truck Emissions'!Q$6*Discounting!$D12</f>
        <v>0</v>
      </c>
      <c r="AE8" s="81">
        <f>(($Y8*'Truck Emissions'!F11)*'Truck Emissions'!$C$2)*'Truck Emissions'!R$6*Discounting!$D12</f>
        <v>0</v>
      </c>
      <c r="AF8" s="81">
        <f>(($Y8*'Truck Emissions'!G11)*'Truck Emissions'!$C$2)*'Truck Emissions'!S$6*Discounting!$D12</f>
        <v>0</v>
      </c>
      <c r="AG8" s="81">
        <f t="shared" si="1"/>
        <v>0</v>
      </c>
      <c r="AH8" s="81">
        <f>AG8*Discounting!C12</f>
        <v>0</v>
      </c>
      <c r="AJ8" s="81">
        <f>$Y8*('Truck Crashes'!D$4/100000000)*'Truck Crashes'!G$4*Discounting!$D12</f>
        <v>0</v>
      </c>
      <c r="AK8" s="81">
        <f>$Y8*('Truck Crashes'!E$4/100000000)*'Truck Crashes'!H$4*Discounting!$D12</f>
        <v>0</v>
      </c>
      <c r="AL8" s="81">
        <f>$Y8*('Truck Crashes'!F$4/100000000)*'Truck Crashes'!I$4*Discounting!$D12</f>
        <v>0</v>
      </c>
      <c r="AM8" s="81">
        <f t="shared" si="2"/>
        <v>0</v>
      </c>
      <c r="AN8" s="81">
        <f>AM8*Discounting!C12</f>
        <v>0</v>
      </c>
      <c r="AP8" s="81">
        <f>Y8*'Truck Pavement'!$C$4*Discounting!D12</f>
        <v>0</v>
      </c>
      <c r="AQ8" s="81">
        <f>AP8*Discounting!C12</f>
        <v>0</v>
      </c>
      <c r="AS8" s="18">
        <f t="shared" si="3"/>
        <v>0</v>
      </c>
    </row>
    <row r="9" spans="1:45" x14ac:dyDescent="0.25">
      <c r="A9" t="s">
        <v>244</v>
      </c>
      <c r="B9" s="27">
        <f>1.69</f>
        <v>1.69</v>
      </c>
      <c r="D9">
        <v>2021</v>
      </c>
      <c r="E9" s="20">
        <f>'VMT Build'!C13</f>
        <v>200000</v>
      </c>
      <c r="F9" s="20">
        <f>E9-$B$1</f>
        <v>0</v>
      </c>
      <c r="G9" s="29">
        <f>IF(SUM(Discounting!$D$8:D12)&gt;5,(F9/$B$3)*($B$5*(1+$B$7)),F9/$B$3*$B$13)</f>
        <v>0</v>
      </c>
      <c r="H9" s="18">
        <f>IF(SUM(Discounting!$D$8:D12)&gt;5,G9*$B$9*Discounting!D12,'Truck Diversion Impacts'!F9*'Truck Diversion Impacts'!$B$11*Discounting!D12)</f>
        <v>0</v>
      </c>
      <c r="I9" s="18">
        <f>H9*Discounting!C12</f>
        <v>0</v>
      </c>
      <c r="N9" t="s">
        <v>196</v>
      </c>
      <c r="O9" t="s">
        <v>193</v>
      </c>
      <c r="P9" s="20">
        <v>1334795</v>
      </c>
      <c r="Q9">
        <v>98</v>
      </c>
      <c r="R9" s="20">
        <f t="shared" si="5"/>
        <v>130809910</v>
      </c>
      <c r="T9">
        <v>2022</v>
      </c>
      <c r="U9" s="20">
        <f>750000/1.7</f>
        <v>441176.4705882353</v>
      </c>
      <c r="V9" s="20">
        <f t="shared" si="7"/>
        <v>529411.76470588241</v>
      </c>
      <c r="W9" s="20">
        <f t="shared" si="4"/>
        <v>0</v>
      </c>
      <c r="Z9" s="18">
        <f>Y9*$B$9*Discounting!D13</f>
        <v>0</v>
      </c>
      <c r="AA9" s="18">
        <f>Discounting!C13*Z9</f>
        <v>0</v>
      </c>
      <c r="AC9" s="81">
        <f>(($Y9*'Truck Emissions'!D12)*'Truck Emissions'!$C$2)*'Truck Emissions'!P$6*Discounting!$D13</f>
        <v>0</v>
      </c>
      <c r="AD9" s="81">
        <f>(($Y9*'Truck Emissions'!E12)*'Truck Emissions'!$C$2)*'Truck Emissions'!Q$6*Discounting!$D13</f>
        <v>0</v>
      </c>
      <c r="AE9" s="81">
        <f>(($Y9*'Truck Emissions'!F12)*'Truck Emissions'!$C$2)*'Truck Emissions'!R$6*Discounting!$D13</f>
        <v>0</v>
      </c>
      <c r="AF9" s="81">
        <f>(($Y9*'Truck Emissions'!G12)*'Truck Emissions'!$C$2)*'Truck Emissions'!S$6*Discounting!$D13</f>
        <v>0</v>
      </c>
      <c r="AG9" s="81">
        <f t="shared" si="1"/>
        <v>0</v>
      </c>
      <c r="AH9" s="81">
        <f>AG9*Discounting!C13</f>
        <v>0</v>
      </c>
      <c r="AJ9" s="81">
        <f>$Y9*('Truck Crashes'!D$4/100000000)*'Truck Crashes'!G$4*Discounting!$D13</f>
        <v>0</v>
      </c>
      <c r="AK9" s="81">
        <f>$Y9*('Truck Crashes'!E$4/100000000)*'Truck Crashes'!H$4*Discounting!$D13</f>
        <v>0</v>
      </c>
      <c r="AL9" s="81">
        <f>$Y9*('Truck Crashes'!F$4/100000000)*'Truck Crashes'!I$4*Discounting!$D13</f>
        <v>0</v>
      </c>
      <c r="AM9" s="81">
        <f t="shared" si="2"/>
        <v>0</v>
      </c>
      <c r="AN9" s="81">
        <f>AM9*Discounting!C13</f>
        <v>0</v>
      </c>
      <c r="AP9" s="81">
        <f>Y9*'Truck Pavement'!$C$4*Discounting!D13</f>
        <v>0</v>
      </c>
      <c r="AQ9" s="81">
        <f>AP9*Discounting!C13</f>
        <v>0</v>
      </c>
      <c r="AS9" s="18">
        <f t="shared" si="3"/>
        <v>0</v>
      </c>
    </row>
    <row r="10" spans="1:45" x14ac:dyDescent="0.25">
      <c r="D10">
        <v>2022</v>
      </c>
      <c r="E10" s="20">
        <f>'VMT Build'!C14</f>
        <v>200000</v>
      </c>
      <c r="F10" s="20">
        <f t="shared" ref="F10:F39" si="8">E10-$B$1</f>
        <v>0</v>
      </c>
      <c r="G10" s="29">
        <f>IF(SUM(Discounting!$D$8:D13)&gt;5,(F10/$B$3)*($B$5*(1+$B$7)),F10/$B$3*$B$13)</f>
        <v>0</v>
      </c>
      <c r="H10" s="18">
        <f>IF(SUM(Discounting!$D$8:D13)&gt;5,G10*$B$9*Discounting!D13,'Truck Diversion Impacts'!F10*'Truck Diversion Impacts'!$B$11*Discounting!D13)</f>
        <v>0</v>
      </c>
      <c r="I10" s="18">
        <f>H10*Discounting!C13</f>
        <v>0</v>
      </c>
      <c r="K10" s="27"/>
      <c r="L10" s="27"/>
      <c r="N10" t="s">
        <v>197</v>
      </c>
      <c r="O10" t="s">
        <v>193</v>
      </c>
      <c r="P10" s="218">
        <v>8944469</v>
      </c>
      <c r="Q10">
        <v>98</v>
      </c>
      <c r="R10" s="20">
        <f t="shared" si="5"/>
        <v>876557962</v>
      </c>
      <c r="T10">
        <v>2023</v>
      </c>
      <c r="U10" s="20">
        <f t="shared" si="6"/>
        <v>463235.29411764711</v>
      </c>
      <c r="V10" s="20">
        <f t="shared" si="7"/>
        <v>529411.76470588241</v>
      </c>
      <c r="W10" s="20">
        <f t="shared" si="4"/>
        <v>0</v>
      </c>
      <c r="X10">
        <v>121.78</v>
      </c>
      <c r="Y10" s="20">
        <f>W10*X10</f>
        <v>0</v>
      </c>
      <c r="Z10" s="18">
        <f>Y10*$B$9*Discounting!D14</f>
        <v>0</v>
      </c>
      <c r="AA10" s="18">
        <f>Discounting!C14*Z10</f>
        <v>0</v>
      </c>
      <c r="AC10" s="81">
        <f>(($Y10*'Truck Emissions'!D13)*'Truck Emissions'!$C$2)*'Truck Emissions'!P$6*Discounting!$D14</f>
        <v>0</v>
      </c>
      <c r="AD10" s="81">
        <f>(($Y10*'Truck Emissions'!E13)*'Truck Emissions'!$C$2)*'Truck Emissions'!Q$6*Discounting!$D14</f>
        <v>0</v>
      </c>
      <c r="AE10" s="81">
        <f>(($Y10*'Truck Emissions'!F13)*'Truck Emissions'!$C$2)*'Truck Emissions'!R$6*Discounting!$D14</f>
        <v>0</v>
      </c>
      <c r="AF10" s="81">
        <f>(($Y10*'Truck Emissions'!G13)*'Truck Emissions'!$C$2)*'Truck Emissions'!S$6*Discounting!$D14</f>
        <v>0</v>
      </c>
      <c r="AG10" s="81">
        <f t="shared" si="1"/>
        <v>0</v>
      </c>
      <c r="AH10" s="81">
        <f>AG10*Discounting!C14</f>
        <v>0</v>
      </c>
      <c r="AJ10" s="81">
        <f>$Y10*('Truck Crashes'!D$4/100000000)*'Truck Crashes'!G$4*Discounting!$D14</f>
        <v>0</v>
      </c>
      <c r="AK10" s="81">
        <f>$Y10*('Truck Crashes'!E$4/100000000)*'Truck Crashes'!H$4*Discounting!$D14</f>
        <v>0</v>
      </c>
      <c r="AL10" s="81">
        <f>$Y10*('Truck Crashes'!F$4/100000000)*'Truck Crashes'!I$4*Discounting!$D14</f>
        <v>0</v>
      </c>
      <c r="AM10" s="81">
        <f t="shared" si="2"/>
        <v>0</v>
      </c>
      <c r="AN10" s="81">
        <f>AM10*Discounting!C14</f>
        <v>0</v>
      </c>
      <c r="AP10" s="81">
        <f>Y10*'Truck Pavement'!$C$4*Discounting!D14</f>
        <v>0</v>
      </c>
      <c r="AQ10" s="81">
        <f>AP10*Discounting!C14</f>
        <v>0</v>
      </c>
      <c r="AS10" s="18">
        <f t="shared" si="3"/>
        <v>0</v>
      </c>
    </row>
    <row r="11" spans="1:45" x14ac:dyDescent="0.25">
      <c r="A11" t="s">
        <v>245</v>
      </c>
      <c r="B11" s="81">
        <f>44*(1/(1+InpC!D35))</f>
        <v>42.974500874540311</v>
      </c>
      <c r="D11">
        <v>2023</v>
      </c>
      <c r="E11" s="20">
        <f>'VMT Build'!C15</f>
        <v>210000</v>
      </c>
      <c r="F11" s="20">
        <f t="shared" si="8"/>
        <v>10000</v>
      </c>
      <c r="G11" s="29">
        <f>IF(SUM(Discounting!$D$8:D14)&gt;5,(F11/$B$3)*($B$5*(1+$B$7)),F11/$B$3*$B$13)</f>
        <v>254286.98742331544</v>
      </c>
      <c r="H11" s="18">
        <f>IF(SUM(Discounting!$D$8:D14)&gt;5,G11*$B$9*Discounting!D14,'Truck Diversion Impacts'!F11*'Truck Diversion Impacts'!$B$11*Discounting!D14)</f>
        <v>0</v>
      </c>
      <c r="I11" s="18">
        <f>H11*Discounting!C14</f>
        <v>0</v>
      </c>
      <c r="K11" s="27"/>
      <c r="L11" s="27"/>
      <c r="N11" t="s">
        <v>198</v>
      </c>
      <c r="O11" t="s">
        <v>193</v>
      </c>
      <c r="P11" s="20">
        <v>19745289</v>
      </c>
      <c r="Q11">
        <v>98</v>
      </c>
      <c r="R11" s="20">
        <f t="shared" si="5"/>
        <v>1935038322</v>
      </c>
      <c r="T11">
        <v>2024</v>
      </c>
      <c r="U11" s="20">
        <f t="shared" si="6"/>
        <v>486397.05882352946</v>
      </c>
      <c r="V11" s="20">
        <f t="shared" si="7"/>
        <v>529411.76470588241</v>
      </c>
      <c r="W11" s="20">
        <f t="shared" si="4"/>
        <v>0</v>
      </c>
      <c r="X11">
        <v>121.78</v>
      </c>
      <c r="Y11" s="20">
        <f t="shared" ref="Y11:Y38" si="9">W11*X11</f>
        <v>0</v>
      </c>
      <c r="Z11" s="18">
        <f>Y11*$B$9*Discounting!D15</f>
        <v>0</v>
      </c>
      <c r="AA11" s="18">
        <f>Discounting!C15*Z11</f>
        <v>0</v>
      </c>
      <c r="AC11" s="81">
        <f>(($Y11*'Truck Emissions'!D14)*'Truck Emissions'!$C$2)*'Truck Emissions'!P$6*Discounting!$D15</f>
        <v>0</v>
      </c>
      <c r="AD11" s="81">
        <f>(($Y11*'Truck Emissions'!E14)*'Truck Emissions'!$C$2)*'Truck Emissions'!Q$6*Discounting!$D15</f>
        <v>0</v>
      </c>
      <c r="AE11" s="81">
        <f>(($Y11*'Truck Emissions'!F14)*'Truck Emissions'!$C$2)*'Truck Emissions'!R$6*Discounting!$D15</f>
        <v>0</v>
      </c>
      <c r="AF11" s="81">
        <f>(($Y11*'Truck Emissions'!G14)*'Truck Emissions'!$C$2)*'Truck Emissions'!S$6*Discounting!$D15</f>
        <v>0</v>
      </c>
      <c r="AG11" s="81">
        <f t="shared" si="1"/>
        <v>0</v>
      </c>
      <c r="AH11" s="81">
        <f>AG11*Discounting!C15</f>
        <v>0</v>
      </c>
      <c r="AJ11" s="81">
        <f>$Y11*('Truck Crashes'!D$4/100000000)*'Truck Crashes'!G$4*Discounting!$D15</f>
        <v>0</v>
      </c>
      <c r="AK11" s="81">
        <f>$Y11*('Truck Crashes'!E$4/100000000)*'Truck Crashes'!H$4*Discounting!$D15</f>
        <v>0</v>
      </c>
      <c r="AL11" s="81">
        <f>$Y11*('Truck Crashes'!F$4/100000000)*'Truck Crashes'!I$4*Discounting!$D15</f>
        <v>0</v>
      </c>
      <c r="AM11" s="81">
        <f t="shared" si="2"/>
        <v>0</v>
      </c>
      <c r="AN11" s="81">
        <f>AM11*Discounting!C15</f>
        <v>0</v>
      </c>
      <c r="AP11" s="81">
        <f>Y11*'Truck Pavement'!$C$4*Discounting!D15</f>
        <v>0</v>
      </c>
      <c r="AQ11" s="81">
        <f>AP11*Discounting!C15</f>
        <v>0</v>
      </c>
      <c r="AS11" s="18">
        <f t="shared" si="3"/>
        <v>0</v>
      </c>
    </row>
    <row r="12" spans="1:45" x14ac:dyDescent="0.25">
      <c r="D12">
        <v>2024</v>
      </c>
      <c r="E12" s="20">
        <f>'VMT Build'!C16</f>
        <v>220500</v>
      </c>
      <c r="F12" s="20">
        <f t="shared" si="8"/>
        <v>20500</v>
      </c>
      <c r="G12" s="29">
        <f>IF(SUM(Discounting!$D$8:D15)&gt;5,(F12/$B$3)*($B$5*(1+$B$7)),F12/$B$3*$B$13)</f>
        <v>521288.32421779667</v>
      </c>
      <c r="H12" s="18">
        <f>IF(SUM(Discounting!$D$8:D15)&gt;5,G12*$B$9*Discounting!D15,'Truck Diversion Impacts'!F12*'Truck Diversion Impacts'!$B$11*Discounting!D15)</f>
        <v>880977.26792807633</v>
      </c>
      <c r="I12" s="18">
        <f>H12*Discounting!C15</f>
        <v>548628.36620840174</v>
      </c>
      <c r="K12" s="27"/>
      <c r="L12" s="27"/>
      <c r="N12" t="s">
        <v>199</v>
      </c>
      <c r="O12" t="s">
        <v>193</v>
      </c>
      <c r="P12" s="20">
        <v>1056426</v>
      </c>
      <c r="Q12">
        <v>98</v>
      </c>
      <c r="R12" s="20">
        <f t="shared" si="5"/>
        <v>103529748</v>
      </c>
      <c r="T12">
        <v>2025</v>
      </c>
      <c r="U12" s="20">
        <f t="shared" si="6"/>
        <v>510716.91176470596</v>
      </c>
      <c r="V12" s="20">
        <f t="shared" si="7"/>
        <v>529411.76470588241</v>
      </c>
      <c r="W12" s="20">
        <f t="shared" si="4"/>
        <v>0</v>
      </c>
      <c r="X12">
        <v>121.78</v>
      </c>
      <c r="Y12" s="20">
        <f t="shared" si="9"/>
        <v>0</v>
      </c>
      <c r="Z12" s="18">
        <f>Y12*$B$9*Discounting!D16</f>
        <v>0</v>
      </c>
      <c r="AA12" s="18">
        <f>Discounting!C16*Z12</f>
        <v>0</v>
      </c>
      <c r="AC12" s="81">
        <f>(($Y12*'Truck Emissions'!D15)*'Truck Emissions'!$C$2)*'Truck Emissions'!P$6*Discounting!$D16</f>
        <v>0</v>
      </c>
      <c r="AD12" s="81">
        <f>(($Y12*'Truck Emissions'!E15)*'Truck Emissions'!$C$2)*'Truck Emissions'!Q$6*Discounting!$D16</f>
        <v>0</v>
      </c>
      <c r="AE12" s="81">
        <f>(($Y12*'Truck Emissions'!F15)*'Truck Emissions'!$C$2)*'Truck Emissions'!R$6*Discounting!$D16</f>
        <v>0</v>
      </c>
      <c r="AF12" s="81">
        <f>(($Y12*'Truck Emissions'!G15)*'Truck Emissions'!$C$2)*'Truck Emissions'!S$6*Discounting!$D16</f>
        <v>0</v>
      </c>
      <c r="AG12" s="81">
        <f t="shared" si="1"/>
        <v>0</v>
      </c>
      <c r="AH12" s="81">
        <f>AG12*Discounting!C16</f>
        <v>0</v>
      </c>
      <c r="AJ12" s="81">
        <f>$Y12*('Truck Crashes'!D$4/100000000)*'Truck Crashes'!G$4*Discounting!$D16</f>
        <v>0</v>
      </c>
      <c r="AK12" s="81">
        <f>$Y12*('Truck Crashes'!E$4/100000000)*'Truck Crashes'!H$4*Discounting!$D16</f>
        <v>0</v>
      </c>
      <c r="AL12" s="81">
        <f>$Y12*('Truck Crashes'!F$4/100000000)*'Truck Crashes'!I$4*Discounting!$D16</f>
        <v>0</v>
      </c>
      <c r="AM12" s="81">
        <f t="shared" si="2"/>
        <v>0</v>
      </c>
      <c r="AN12" s="81">
        <f>AM12*Discounting!C16</f>
        <v>0</v>
      </c>
      <c r="AP12" s="81">
        <f>Y12*'Truck Pavement'!$C$4*Discounting!D16</f>
        <v>0</v>
      </c>
      <c r="AQ12" s="81">
        <f>AP12*Discounting!C16</f>
        <v>0</v>
      </c>
      <c r="AS12" s="18">
        <f t="shared" si="3"/>
        <v>0</v>
      </c>
    </row>
    <row r="13" spans="1:45" x14ac:dyDescent="0.25">
      <c r="A13" t="s">
        <v>246</v>
      </c>
      <c r="B13" s="71">
        <f>B11*8/B9</f>
        <v>203.42958993865236</v>
      </c>
      <c r="D13">
        <v>2025</v>
      </c>
      <c r="E13" s="20">
        <f>'VMT Build'!C17</f>
        <v>231525</v>
      </c>
      <c r="F13" s="20">
        <f t="shared" si="8"/>
        <v>31525</v>
      </c>
      <c r="G13" s="29">
        <f>IF(SUM(Discounting!$D$8:D16)&gt;5,(F13/$B$3)*($B$5*(1+$B$7)),F13/$B$3*$B$13)</f>
        <v>801639.7278520019</v>
      </c>
      <c r="H13" s="18">
        <f>IF(SUM(Discounting!$D$8:D16)&gt;5,G13*$B$9*Discounting!D16,'Truck Diversion Impacts'!F13*'Truck Diversion Impacts'!$B$11*Discounting!D16)</f>
        <v>1354771.1400698833</v>
      </c>
      <c r="I13" s="18">
        <f>H13*Discounting!C16</f>
        <v>788489.13812262903</v>
      </c>
      <c r="K13" s="27"/>
      <c r="L13" s="27"/>
      <c r="N13" t="s">
        <v>200</v>
      </c>
      <c r="O13" t="s">
        <v>193</v>
      </c>
      <c r="P13" s="20">
        <v>624594</v>
      </c>
      <c r="Q13">
        <v>98</v>
      </c>
      <c r="R13" s="20">
        <f t="shared" si="5"/>
        <v>61210212</v>
      </c>
      <c r="T13">
        <v>2026</v>
      </c>
      <c r="U13" s="20">
        <f t="shared" si="6"/>
        <v>536252.75735294132</v>
      </c>
      <c r="V13" s="20">
        <f t="shared" si="7"/>
        <v>529411.76470588241</v>
      </c>
      <c r="W13" s="20">
        <f t="shared" si="4"/>
        <v>6840.9926470589126</v>
      </c>
      <c r="X13">
        <v>121.78</v>
      </c>
      <c r="Y13" s="20">
        <f t="shared" si="9"/>
        <v>833096.08455883432</v>
      </c>
      <c r="Z13" s="18">
        <f>Y13*$B$9*Discounting!D17</f>
        <v>1407932.3829044299</v>
      </c>
      <c r="AA13" s="18">
        <f>Discounting!C17*Z13</f>
        <v>765821.9303386244</v>
      </c>
      <c r="AC13" s="81">
        <f>(($Y13*'Truck Emissions'!D16)*'Truck Emissions'!$C$2)*'Truck Emissions'!P$6*Discounting!$D17</f>
        <v>952.89330208779177</v>
      </c>
      <c r="AD13" s="81">
        <f>(($Y13*'Truck Emissions'!E16)*'Truck Emissions'!$C$2)*'Truck Emissions'!Q$6*Discounting!$D17</f>
        <v>28775.28546888263</v>
      </c>
      <c r="AE13" s="81">
        <f>(($Y13*'Truck Emissions'!F16)*'Truck Emissions'!$C$2)*'Truck Emissions'!R$6*Discounting!$D17</f>
        <v>728.02511689417975</v>
      </c>
      <c r="AF13" s="81">
        <f>(($Y13*'Truck Emissions'!G16)*'Truck Emissions'!$C$2)*'Truck Emissions'!S$6*Discounting!$D17</f>
        <v>34877.032749031234</v>
      </c>
      <c r="AG13" s="81">
        <f t="shared" si="1"/>
        <v>65333.236636895832</v>
      </c>
      <c r="AH13" s="81">
        <f>AG13*Discounting!C17</f>
        <v>35536.951919042527</v>
      </c>
      <c r="AJ13" s="81">
        <f>$Y13*('Truck Crashes'!D$4/100000000)*'Truck Crashes'!G$4*Discounting!$D17</f>
        <v>143159.23117059009</v>
      </c>
      <c r="AK13" s="81">
        <f>$Y13*('Truck Crashes'!E$4/100000000)*'Truck Crashes'!H$4*Discounting!$D17</f>
        <v>63346.960077684649</v>
      </c>
      <c r="AL13" s="81">
        <f>$Y13*('Truck Crashes'!F$4/100000000)*'Truck Crashes'!I$4*Discounting!$D17</f>
        <v>4280.86423050557</v>
      </c>
      <c r="AM13" s="81">
        <f t="shared" si="2"/>
        <v>210787.05547878033</v>
      </c>
      <c r="AN13" s="81">
        <f>AM13*Discounting!C17</f>
        <v>114654.19197486543</v>
      </c>
      <c r="AP13" s="81">
        <f>Y13*'Truck Pavement'!$C$4*Discounting!D17</f>
        <v>111615.0076149129</v>
      </c>
      <c r="AQ13" s="81">
        <f>AP13*Discounting!C17</f>
        <v>60711.168820537758</v>
      </c>
      <c r="AS13" s="18">
        <f t="shared" si="3"/>
        <v>976724.24305307004</v>
      </c>
    </row>
    <row r="14" spans="1:45" x14ac:dyDescent="0.25">
      <c r="D14">
        <v>2026</v>
      </c>
      <c r="E14" s="20">
        <f>'VMT Build'!C18</f>
        <v>243101.25</v>
      </c>
      <c r="F14" s="20">
        <f t="shared" si="8"/>
        <v>43101.25</v>
      </c>
      <c r="G14" s="29">
        <f>IF(SUM(Discounting!$D$8:D17)&gt;5,(F14/$B$3)*($B$5*(1+$B$7)),F14/$B$3*$B$13)</f>
        <v>1096008.7016679174</v>
      </c>
      <c r="H14" s="18">
        <f>IF(SUM(Discounting!$D$8:D17)&gt;5,G14*$B$9*Discounting!D17,'Truck Diversion Impacts'!F14*'Truck Diversion Impacts'!$B$11*Discounting!D17)</f>
        <v>1852254.7058187807</v>
      </c>
      <c r="I14" s="18">
        <f>H14*Discounting!C17</f>
        <v>1007503.8343551096</v>
      </c>
      <c r="K14" s="27"/>
      <c r="L14" s="27"/>
      <c r="N14" t="s">
        <v>201</v>
      </c>
      <c r="O14" t="s">
        <v>202</v>
      </c>
      <c r="P14" s="218">
        <v>681170</v>
      </c>
      <c r="Q14">
        <v>-98</v>
      </c>
      <c r="R14" s="20">
        <f t="shared" si="5"/>
        <v>-66754660</v>
      </c>
      <c r="T14">
        <v>2027</v>
      </c>
      <c r="U14" s="20">
        <f t="shared" si="6"/>
        <v>563065.39522058843</v>
      </c>
      <c r="V14" s="20">
        <f t="shared" si="7"/>
        <v>529411.76470588241</v>
      </c>
      <c r="W14" s="20">
        <f t="shared" si="4"/>
        <v>33653.630514706019</v>
      </c>
      <c r="X14">
        <v>121.78</v>
      </c>
      <c r="Y14" s="20">
        <f t="shared" si="9"/>
        <v>4098339.1240808992</v>
      </c>
      <c r="Z14" s="18">
        <f>Y14*$B$9*Discounting!D18</f>
        <v>6926193.1196967196</v>
      </c>
      <c r="AA14" s="18">
        <f>Discounting!C18*Z14</f>
        <v>3520925.36958618</v>
      </c>
      <c r="AC14" s="81">
        <f>(($Y14*'Truck Emissions'!D17)*'Truck Emissions'!$C$2)*'Truck Emissions'!P$6*Discounting!$D18</f>
        <v>4508.9033605209006</v>
      </c>
      <c r="AD14" s="81">
        <f>(($Y14*'Truck Emissions'!E17)*'Truck Emissions'!$C$2)*'Truck Emissions'!Q$6*Discounting!$D18</f>
        <v>132864.57942148484</v>
      </c>
      <c r="AE14" s="81">
        <f>(($Y14*'Truck Emissions'!F17)*'Truck Emissions'!$C$2)*'Truck Emissions'!R$6*Discounting!$D18</f>
        <v>3583.9208032665338</v>
      </c>
      <c r="AF14" s="81">
        <f>(($Y14*'Truck Emissions'!G17)*'Truck Emissions'!$C$2)*'Truck Emissions'!S$6*Discounting!$D18</f>
        <v>152131.51893547038</v>
      </c>
      <c r="AG14" s="81">
        <f t="shared" si="1"/>
        <v>293088.92252074264</v>
      </c>
      <c r="AH14" s="81">
        <f>AG14*Discounting!C18</f>
        <v>148991.54629594667</v>
      </c>
      <c r="AJ14" s="81">
        <f>$Y14*('Truck Crashes'!D$4/100000000)*'Truck Crashes'!G$4*Discounting!$D18</f>
        <v>704258.59508206171</v>
      </c>
      <c r="AK14" s="81">
        <f>$Y14*('Truck Crashes'!E$4/100000000)*'Truck Crashes'!H$4*Discounting!$D18</f>
        <v>311629.51031686342</v>
      </c>
      <c r="AL14" s="81">
        <f>$Y14*('Truck Crashes'!F$4/100000000)*'Truck Crashes'!I$4*Discounting!$D18</f>
        <v>21059.3155890897</v>
      </c>
      <c r="AM14" s="81">
        <f t="shared" si="2"/>
        <v>1036947.4209880148</v>
      </c>
      <c r="AN14" s="81">
        <f>AM14*Discounting!C18</f>
        <v>527131.48744017852</v>
      </c>
      <c r="AP14" s="81">
        <f>Y14*'Truck Pavement'!$C$4*Discounting!D18</f>
        <v>549079.70523594541</v>
      </c>
      <c r="AQ14" s="81">
        <f>AP14*Discounting!C18</f>
        <v>279124.27948223235</v>
      </c>
      <c r="AS14" s="18">
        <f t="shared" si="3"/>
        <v>4476172.682804537</v>
      </c>
    </row>
    <row r="15" spans="1:45" x14ac:dyDescent="0.25">
      <c r="D15">
        <v>2027</v>
      </c>
      <c r="E15" s="20">
        <f>'VMT Build'!C19</f>
        <v>255256.3125</v>
      </c>
      <c r="F15" s="20">
        <f t="shared" si="8"/>
        <v>55256.3125</v>
      </c>
      <c r="G15" s="29">
        <f>IF(SUM(Discounting!$D$8:D18)&gt;5,(F15/$B$3)*($B$5*(1+$B$7)),F15/$B$3*$B$13)</f>
        <v>1405096.1241746289</v>
      </c>
      <c r="H15" s="18">
        <f>IF(SUM(Discounting!$D$8:D18)&gt;5,G15*$B$9*Discounting!D18,'Truck Diversion Impacts'!F15*'Truck Diversion Impacts'!$B$11*Discounting!D18)</f>
        <v>2374612.4498551227</v>
      </c>
      <c r="I15" s="18">
        <f>H15*Discounting!C18</f>
        <v>1207132.5579781397</v>
      </c>
      <c r="K15" s="27"/>
      <c r="L15" s="27"/>
      <c r="N15" t="s">
        <v>203</v>
      </c>
      <c r="O15" t="s">
        <v>202</v>
      </c>
      <c r="P15" s="218">
        <v>6016447</v>
      </c>
      <c r="Q15">
        <v>-98</v>
      </c>
      <c r="R15" s="20">
        <f t="shared" si="5"/>
        <v>-589611806</v>
      </c>
      <c r="T15">
        <v>2028</v>
      </c>
      <c r="U15" s="20">
        <f t="shared" si="6"/>
        <v>573529.4117647059</v>
      </c>
      <c r="V15" s="20">
        <f t="shared" si="7"/>
        <v>529411.76470588241</v>
      </c>
      <c r="W15" s="20">
        <f t="shared" si="4"/>
        <v>44117.647058823495</v>
      </c>
      <c r="X15">
        <v>121.78</v>
      </c>
      <c r="Y15" s="20">
        <f t="shared" si="9"/>
        <v>5372647.058823525</v>
      </c>
      <c r="Z15" s="18">
        <f>Y15*$B$9*Discounting!D19</f>
        <v>9079773.5294117574</v>
      </c>
      <c r="AA15" s="18">
        <f>Discounting!C19*Z15</f>
        <v>4313734.996654219</v>
      </c>
      <c r="AC15" s="81">
        <f>(($Y15*'Truck Emissions'!D18)*'Truck Emissions'!$C$2)*'Truck Emissions'!P$6*Discounting!$D19</f>
        <v>5676.517529294113</v>
      </c>
      <c r="AD15" s="81">
        <f>(($Y15*'Truck Emissions'!E18)*'Truck Emissions'!$C$2)*'Truck Emissions'!Q$6*Discounting!$D19</f>
        <v>162780.88663914692</v>
      </c>
      <c r="AE15" s="81">
        <f>(($Y15*'Truck Emissions'!F18)*'Truck Emissions'!$C$2)*'Truck Emissions'!R$6*Discounting!$D19</f>
        <v>4698.0251438506384</v>
      </c>
      <c r="AF15" s="81">
        <f>(($Y15*'Truck Emissions'!G18)*'Truck Emissions'!$C$2)*'Truck Emissions'!S$6*Discounting!$D19</f>
        <v>173945.96694718226</v>
      </c>
      <c r="AG15" s="81">
        <f t="shared" si="1"/>
        <v>347101.39625947393</v>
      </c>
      <c r="AH15" s="81">
        <f>AG15*Discounting!C19</f>
        <v>164905.37297894928</v>
      </c>
      <c r="AJ15" s="81">
        <f>$Y15*('Truck Crashes'!D$4/100000000)*'Truck Crashes'!G$4*Discounting!$D19</f>
        <v>923235.67058823456</v>
      </c>
      <c r="AK15" s="81">
        <f>$Y15*('Truck Crashes'!E$4/100000000)*'Truck Crashes'!H$4*Discounting!$D19</f>
        <v>408525.33705882321</v>
      </c>
      <c r="AL15" s="81">
        <f>$Y15*('Truck Crashes'!F$4/100000000)*'Truck Crashes'!I$4*Discounting!$D19</f>
        <v>27607.346911764682</v>
      </c>
      <c r="AM15" s="81">
        <f t="shared" si="2"/>
        <v>1359368.3545588225</v>
      </c>
      <c r="AN15" s="81">
        <f>AM15*Discounting!C19</f>
        <v>645826.1128881434</v>
      </c>
      <c r="AP15" s="81">
        <f>Y15*'Truck Pavement'!$C$4*Discounting!D19</f>
        <v>719806.57873380964</v>
      </c>
      <c r="AQ15" s="81">
        <f>AP15*Discounting!C19</f>
        <v>341974.9203488272</v>
      </c>
      <c r="AS15" s="18">
        <f t="shared" si="3"/>
        <v>5466441.4028701382</v>
      </c>
    </row>
    <row r="16" spans="1:45" x14ac:dyDescent="0.25">
      <c r="D16">
        <v>2028</v>
      </c>
      <c r="E16" s="20">
        <f>'VMT Build'!C20</f>
        <v>268019.12812499999</v>
      </c>
      <c r="F16" s="20">
        <f t="shared" si="8"/>
        <v>68019.128124999988</v>
      </c>
      <c r="G16" s="29">
        <f>IF(SUM(Discounting!$D$8:D19)&gt;5,(F16/$B$3)*($B$5*(1+$B$7)),F16/$B$3*$B$13)</f>
        <v>1729637.9178066754</v>
      </c>
      <c r="H16" s="18">
        <f>IF(SUM(Discounting!$D$8:D19)&gt;5,G16*$B$9*Discounting!D19,'Truck Diversion Impacts'!F16*'Truck Diversion Impacts'!$B$11*Discounting!D19)</f>
        <v>2923088.0810932815</v>
      </c>
      <c r="I16" s="18">
        <f>H16*Discounting!C19</f>
        <v>1388738.0905338319</v>
      </c>
      <c r="K16" s="27"/>
      <c r="L16" s="27"/>
      <c r="N16" t="s">
        <v>204</v>
      </c>
      <c r="O16" t="s">
        <v>202</v>
      </c>
      <c r="P16" s="218">
        <v>8411808</v>
      </c>
      <c r="Q16">
        <v>-98</v>
      </c>
      <c r="R16" s="20">
        <f t="shared" si="5"/>
        <v>-824357184</v>
      </c>
      <c r="T16">
        <v>2029</v>
      </c>
      <c r="U16" s="20">
        <f t="shared" si="6"/>
        <v>573529.4117647059</v>
      </c>
      <c r="V16" s="20">
        <f t="shared" si="7"/>
        <v>529411.76470588241</v>
      </c>
      <c r="W16" s="20">
        <f t="shared" si="4"/>
        <v>44117.647058823495</v>
      </c>
      <c r="X16">
        <v>121.78</v>
      </c>
      <c r="Y16" s="20">
        <f t="shared" si="9"/>
        <v>5372647.058823525</v>
      </c>
      <c r="Z16" s="18">
        <f>Y16*$B$9*Discounting!D20</f>
        <v>9079773.5294117574</v>
      </c>
      <c r="AA16" s="18">
        <f>Discounting!C20*Z16</f>
        <v>4031528.0342562804</v>
      </c>
      <c r="AC16" s="81">
        <f>(($Y16*'Truck Emissions'!D19)*'Truck Emissions'!$C$2)*'Truck Emissions'!P$6*Discounting!$D20</f>
        <v>5442.1658881764661</v>
      </c>
      <c r="AD16" s="81">
        <f>(($Y16*'Truck Emissions'!E19)*'Truck Emissions'!$C$2)*'Truck Emissions'!Q$6*Discounting!$D20</f>
        <v>151385.24219126461</v>
      </c>
      <c r="AE16" s="81">
        <f>(($Y16*'Truck Emissions'!F19)*'Truck Emissions'!$C$2)*'Truck Emissions'!R$6*Discounting!$D20</f>
        <v>4696.871661624652</v>
      </c>
      <c r="AF16" s="81">
        <f>(($Y16*'Truck Emissions'!G19)*'Truck Emissions'!$C$2)*'Truck Emissions'!S$6*Discounting!$D20</f>
        <v>148457.7404279293</v>
      </c>
      <c r="AG16" s="81">
        <f t="shared" si="1"/>
        <v>309982.02016899502</v>
      </c>
      <c r="AH16" s="81">
        <f>AG16*Discounting!C20</f>
        <v>137635.72410463661</v>
      </c>
      <c r="AJ16" s="81">
        <f>$Y16*('Truck Crashes'!D$4/100000000)*'Truck Crashes'!G$4*Discounting!$D20</f>
        <v>923235.67058823456</v>
      </c>
      <c r="AK16" s="81">
        <f>$Y16*('Truck Crashes'!E$4/100000000)*'Truck Crashes'!H$4*Discounting!$D20</f>
        <v>408525.33705882321</v>
      </c>
      <c r="AL16" s="81">
        <f>$Y16*('Truck Crashes'!F$4/100000000)*'Truck Crashes'!I$4*Discounting!$D20</f>
        <v>27607.346911764682</v>
      </c>
      <c r="AM16" s="81">
        <f t="shared" si="2"/>
        <v>1359368.3545588225</v>
      </c>
      <c r="AN16" s="81">
        <f>AM16*Discounting!C20</f>
        <v>603575.80643751728</v>
      </c>
      <c r="AP16" s="81">
        <f>Y16*'Truck Pavement'!$C$4*Discounting!D20</f>
        <v>719806.57873380964</v>
      </c>
      <c r="AQ16" s="81">
        <f>AP16*Discounting!C20</f>
        <v>319602.72929796937</v>
      </c>
      <c r="AS16" s="18">
        <f t="shared" si="3"/>
        <v>5092342.2940964038</v>
      </c>
    </row>
    <row r="17" spans="2:45" x14ac:dyDescent="0.25">
      <c r="D17">
        <v>2029</v>
      </c>
      <c r="E17" s="20">
        <f>'VMT Build'!C21</f>
        <v>281420.08453125</v>
      </c>
      <c r="F17" s="20">
        <f t="shared" si="8"/>
        <v>81420.084531250002</v>
      </c>
      <c r="G17" s="29">
        <f>IF(SUM(Discounting!$D$8:D20)&gt;5,(F17/$B$3)*($B$5*(1+$B$7)),F17/$B$3*$B$13)</f>
        <v>730745.2586679688</v>
      </c>
      <c r="H17" s="18">
        <f>IF(SUM(Discounting!$D$8:D20)&gt;5,G17*$B$9*Discounting!D20,'Truck Diversion Impacts'!F17*'Truck Diversion Impacts'!$B$11*Discounting!D20)</f>
        <v>1234959.4871488672</v>
      </c>
      <c r="I17" s="18">
        <f>H17*Discounting!C20</f>
        <v>548336.78147190216</v>
      </c>
      <c r="K17" s="27"/>
      <c r="L17" s="27"/>
      <c r="N17" t="s">
        <v>224</v>
      </c>
      <c r="O17" t="s">
        <v>202</v>
      </c>
      <c r="P17" s="218">
        <v>1831102</v>
      </c>
      <c r="Q17">
        <v>-98</v>
      </c>
      <c r="R17" s="20">
        <f t="shared" si="5"/>
        <v>-179447996</v>
      </c>
      <c r="T17">
        <v>2030</v>
      </c>
      <c r="U17" s="20">
        <f t="shared" si="6"/>
        <v>573529.4117647059</v>
      </c>
      <c r="V17" s="20">
        <f t="shared" si="7"/>
        <v>529411.76470588241</v>
      </c>
      <c r="W17" s="20">
        <f t="shared" si="4"/>
        <v>44117.647058823495</v>
      </c>
      <c r="X17">
        <v>121.78</v>
      </c>
      <c r="Y17" s="20">
        <f t="shared" si="9"/>
        <v>5372647.058823525</v>
      </c>
      <c r="Z17" s="18">
        <f>Y17*$B$9*Discounting!D21</f>
        <v>9079773.5294117574</v>
      </c>
      <c r="AA17" s="18">
        <f>Discounting!C21*Z17</f>
        <v>3767783.2095853081</v>
      </c>
      <c r="AC17" s="81">
        <f>(($Y17*'Truck Emissions'!D20)*'Truck Emissions'!$C$2)*'Truck Emissions'!P$6*Discounting!$D21</f>
        <v>5207.8142470588191</v>
      </c>
      <c r="AD17" s="81">
        <f>(($Y17*'Truck Emissions'!E20)*'Truck Emissions'!$C$2)*'Truck Emissions'!Q$6*Discounting!$D21</f>
        <v>139989.59774338224</v>
      </c>
      <c r="AE17" s="81">
        <f>(($Y17*'Truck Emissions'!F20)*'Truck Emissions'!$C$2)*'Truck Emissions'!R$6*Discounting!$D21</f>
        <v>4696.644240871904</v>
      </c>
      <c r="AF17" s="81">
        <f>(($Y17*'Truck Emissions'!G20)*'Truck Emissions'!$C$2)*'Truck Emissions'!S$6*Discounting!$D21</f>
        <v>122969.51390867637</v>
      </c>
      <c r="AG17" s="81">
        <f t="shared" si="1"/>
        <v>272863.57013998937</v>
      </c>
      <c r="AH17" s="81">
        <f>AG17*Discounting!C21</f>
        <v>113228.68073203594</v>
      </c>
      <c r="AJ17" s="81">
        <f>$Y17*('Truck Crashes'!D$4/100000000)*'Truck Crashes'!G$4*Discounting!$D21</f>
        <v>923235.67058823456</v>
      </c>
      <c r="AK17" s="81">
        <f>$Y17*('Truck Crashes'!E$4/100000000)*'Truck Crashes'!H$4*Discounting!$D21</f>
        <v>408525.33705882321</v>
      </c>
      <c r="AL17" s="81">
        <f>$Y17*('Truck Crashes'!F$4/100000000)*'Truck Crashes'!I$4*Discounting!$D21</f>
        <v>27607.346911764682</v>
      </c>
      <c r="AM17" s="81">
        <f t="shared" si="2"/>
        <v>1359368.3545588225</v>
      </c>
      <c r="AN17" s="81">
        <f>AM17*Discounting!C21</f>
        <v>564089.53872665158</v>
      </c>
      <c r="AP17" s="81">
        <f>Y17*'Truck Pavement'!$C$4*Discounting!D21</f>
        <v>719806.57873380964</v>
      </c>
      <c r="AQ17" s="81">
        <f>AP17*Discounting!C21</f>
        <v>298694.13953081251</v>
      </c>
      <c r="AS17" s="18">
        <f t="shared" si="3"/>
        <v>4743795.5685748076</v>
      </c>
    </row>
    <row r="18" spans="2:45" x14ac:dyDescent="0.25">
      <c r="D18">
        <v>2030</v>
      </c>
      <c r="E18" s="20">
        <f>'VMT Build'!C22</f>
        <v>295491.08875781251</v>
      </c>
      <c r="F18" s="20">
        <f t="shared" si="8"/>
        <v>95491.088757812511</v>
      </c>
      <c r="G18" s="29">
        <f>IF(SUM(Discounting!$D$8:D21)&gt;5,(F18/$B$3)*($B$5*(1+$B$7)),F18/$B$3*$B$13)</f>
        <v>857032.52160136728</v>
      </c>
      <c r="H18" s="18">
        <f>IF(SUM(Discounting!$D$8:D21)&gt;5,G18*$B$9*Discounting!D21,'Truck Diversion Impacts'!F18*'Truck Diversion Impacts'!$B$11*Discounting!D21)</f>
        <v>1448384.9615063106</v>
      </c>
      <c r="I18" s="18">
        <f>H18*Discounting!C21</f>
        <v>601028.26588152698</v>
      </c>
      <c r="K18" s="27"/>
      <c r="L18" s="27"/>
      <c r="P18" s="20">
        <f>SUM(P4:P16)</f>
        <v>72271000</v>
      </c>
      <c r="R18" s="20">
        <f>SUM(R4:R17)</f>
        <v>2595506088</v>
      </c>
      <c r="T18">
        <v>2031</v>
      </c>
      <c r="U18" s="20">
        <f t="shared" si="6"/>
        <v>573529.4117647059</v>
      </c>
      <c r="V18" s="20">
        <f t="shared" si="7"/>
        <v>529411.76470588241</v>
      </c>
      <c r="W18" s="20">
        <f t="shared" si="4"/>
        <v>44117.647058823495</v>
      </c>
      <c r="X18">
        <v>121.78</v>
      </c>
      <c r="Y18" s="20">
        <f t="shared" si="9"/>
        <v>5372647.058823525</v>
      </c>
      <c r="Z18" s="18">
        <f>Y18*$B$9*Discounting!D22</f>
        <v>9079773.5294117574</v>
      </c>
      <c r="AA18" s="18">
        <f>Discounting!C22*Z18</f>
        <v>3521292.7192386063</v>
      </c>
      <c r="AC18" s="81">
        <f>(($Y18*'Truck Emissions'!D21)*'Truck Emissions'!$C$2)*'Truck Emissions'!P$6*Discounting!$D22</f>
        <v>5110.7595269999965</v>
      </c>
      <c r="AD18" s="81">
        <f>(($Y18*'Truck Emissions'!E21)*'Truck Emissions'!$C$2)*'Truck Emissions'!Q$6*Discounting!$D22</f>
        <v>135667.11191832344</v>
      </c>
      <c r="AE18" s="81">
        <f>(($Y18*'Truck Emissions'!F21)*'Truck Emissions'!$C$2)*'Truck Emissions'!R$6*Discounting!$D22</f>
        <v>4696.2653178572045</v>
      </c>
      <c r="AF18" s="81">
        <f>(($Y18*'Truck Emissions'!G21)*'Truck Emissions'!$C$2)*'Truck Emissions'!S$6*Discounting!$D22</f>
        <v>119690.32687111167</v>
      </c>
      <c r="AG18" s="81">
        <f t="shared" si="1"/>
        <v>265164.4636342923</v>
      </c>
      <c r="AH18" s="81">
        <f>AG18*Discounting!C22</f>
        <v>102835.35070249002</v>
      </c>
      <c r="AJ18" s="81">
        <f>$Y18*('Truck Crashes'!D$4/100000000)*'Truck Crashes'!G$4*Discounting!$D22</f>
        <v>923235.67058823456</v>
      </c>
      <c r="AK18" s="81">
        <f>$Y18*('Truck Crashes'!E$4/100000000)*'Truck Crashes'!H$4*Discounting!$D22</f>
        <v>408525.33705882321</v>
      </c>
      <c r="AL18" s="81">
        <f>$Y18*('Truck Crashes'!F$4/100000000)*'Truck Crashes'!I$4*Discounting!$D22</f>
        <v>27607.346911764682</v>
      </c>
      <c r="AM18" s="81">
        <f t="shared" si="2"/>
        <v>1359368.3545588225</v>
      </c>
      <c r="AN18" s="81">
        <f>AM18*Discounting!C22</f>
        <v>527186.48479126324</v>
      </c>
      <c r="AP18" s="81">
        <f>Y18*'Truck Pavement'!$C$4*Discounting!D22</f>
        <v>719806.57873380964</v>
      </c>
      <c r="AQ18" s="81">
        <f>AP18*Discounting!C22</f>
        <v>279153.40143066592</v>
      </c>
      <c r="AS18" s="18">
        <f t="shared" si="3"/>
        <v>4430467.9561630255</v>
      </c>
    </row>
    <row r="19" spans="2:45" x14ac:dyDescent="0.25">
      <c r="D19">
        <v>2031</v>
      </c>
      <c r="E19" s="20">
        <f>'VMT Build'!C23</f>
        <v>310265.64319570316</v>
      </c>
      <c r="F19" s="20">
        <f t="shared" si="8"/>
        <v>110265.64319570316</v>
      </c>
      <c r="G19" s="29">
        <f>IF(SUM(Discounting!$D$8:D22)&gt;5,(F19/$B$3)*($B$5*(1+$B$7)),F19/$B$3*$B$13)</f>
        <v>989634.1476814358</v>
      </c>
      <c r="H19" s="18">
        <f>IF(SUM(Discounting!$D$8:D22)&gt;5,G19*$B$9*Discounting!D22,'Truck Diversion Impacts'!F19*'Truck Diversion Impacts'!$B$11*Discounting!D22)</f>
        <v>1672481.7095816263</v>
      </c>
      <c r="I19" s="18">
        <f>H19*Discounting!C22</f>
        <v>648617.2422618852</v>
      </c>
      <c r="K19" s="27"/>
      <c r="L19" s="27"/>
      <c r="P19">
        <f>R18/P18</f>
        <v>35.913521163398876</v>
      </c>
      <c r="Q19" t="s">
        <v>223</v>
      </c>
      <c r="T19">
        <v>2032</v>
      </c>
      <c r="U19" s="20">
        <f t="shared" si="6"/>
        <v>573529.4117647059</v>
      </c>
      <c r="V19" s="20">
        <f t="shared" si="7"/>
        <v>529411.76470588241</v>
      </c>
      <c r="W19" s="20">
        <f t="shared" si="4"/>
        <v>44117.647058823495</v>
      </c>
      <c r="X19">
        <v>121.78</v>
      </c>
      <c r="Y19" s="20">
        <f t="shared" si="9"/>
        <v>5372647.058823525</v>
      </c>
      <c r="Z19" s="18">
        <f>Y19*$B$9*Discounting!D23</f>
        <v>9079773.5294117574</v>
      </c>
      <c r="AA19" s="18">
        <f>Discounting!C23*Z19</f>
        <v>3290927.7749893512</v>
      </c>
      <c r="AC19" s="81">
        <f>(($Y19*'Truck Emissions'!D22)*'Truck Emissions'!$C$2)*'Truck Emissions'!P$6*Discounting!$D23</f>
        <v>5013.704806941173</v>
      </c>
      <c r="AD19" s="81">
        <f>(($Y19*'Truck Emissions'!E22)*'Truck Emissions'!$C$2)*'Truck Emissions'!Q$6*Discounting!$D23</f>
        <v>131344.62609326461</v>
      </c>
      <c r="AE19" s="81">
        <f>(($Y19*'Truck Emissions'!F22)*'Truck Emissions'!$C$2)*'Truck Emissions'!R$6*Discounting!$D23</f>
        <v>4696.078711358321</v>
      </c>
      <c r="AF19" s="81">
        <f>(($Y19*'Truck Emissions'!G22)*'Truck Emissions'!$C$2)*'Truck Emissions'!S$6*Discounting!$D23</f>
        <v>116411.13983354699</v>
      </c>
      <c r="AG19" s="81">
        <f t="shared" si="1"/>
        <v>257465.54944511113</v>
      </c>
      <c r="AH19" s="81">
        <f>AG19*Discounting!C23</f>
        <v>93317.363591413668</v>
      </c>
      <c r="AJ19" s="81">
        <f>$Y19*('Truck Crashes'!D$4/100000000)*'Truck Crashes'!G$4*Discounting!$D23</f>
        <v>923235.67058823456</v>
      </c>
      <c r="AK19" s="81">
        <f>$Y19*('Truck Crashes'!E$4/100000000)*'Truck Crashes'!H$4*Discounting!$D23</f>
        <v>408525.33705882321</v>
      </c>
      <c r="AL19" s="81">
        <f>$Y19*('Truck Crashes'!F$4/100000000)*'Truck Crashes'!I$4*Discounting!$D23</f>
        <v>27607.346911764682</v>
      </c>
      <c r="AM19" s="81">
        <f t="shared" si="2"/>
        <v>1359368.3545588225</v>
      </c>
      <c r="AN19" s="81">
        <f>AM19*Discounting!C23</f>
        <v>492697.64933762909</v>
      </c>
      <c r="AP19" s="81">
        <f>Y19*'Truck Pavement'!$C$4*Discounting!D23</f>
        <v>719806.57873380964</v>
      </c>
      <c r="AQ19" s="81">
        <f>AP19*Discounting!C23</f>
        <v>260891.02937445408</v>
      </c>
      <c r="AS19" s="18">
        <f t="shared" si="3"/>
        <v>4137833.8172928477</v>
      </c>
    </row>
    <row r="20" spans="2:45" x14ac:dyDescent="0.25">
      <c r="D20">
        <v>2032</v>
      </c>
      <c r="E20" s="20">
        <f>'VMT Build'!C24</f>
        <v>325000</v>
      </c>
      <c r="F20" s="20">
        <f t="shared" si="8"/>
        <v>125000</v>
      </c>
      <c r="G20" s="29">
        <f>IF(SUM(Discounting!$D$8:D23)&gt;5,(F20/$B$3)*($B$5*(1+$B$7)),F20/$B$3*$B$13)</f>
        <v>1121875</v>
      </c>
      <c r="H20" s="18">
        <f>IF(SUM(Discounting!$D$8:D23)&gt;5,G20*$B$9*Discounting!D23,'Truck Diversion Impacts'!F20*'Truck Diversion Impacts'!$B$11*Discounting!D23)</f>
        <v>1895968.75</v>
      </c>
      <c r="I20" s="18">
        <f>H20*Discounting!C23</f>
        <v>687186.32680380007</v>
      </c>
      <c r="J20" s="20"/>
      <c r="K20" s="27"/>
      <c r="L20" s="27"/>
      <c r="T20">
        <v>2033</v>
      </c>
      <c r="U20" s="20">
        <f t="shared" si="6"/>
        <v>573529.4117647059</v>
      </c>
      <c r="V20" s="20">
        <f t="shared" si="7"/>
        <v>529411.76470588241</v>
      </c>
      <c r="W20" s="20">
        <f t="shared" si="4"/>
        <v>44117.647058823495</v>
      </c>
      <c r="X20">
        <v>121.78</v>
      </c>
      <c r="Y20" s="20">
        <f t="shared" si="9"/>
        <v>5372647.058823525</v>
      </c>
      <c r="Z20" s="18">
        <f>Y20*$B$9*Discounting!D24</f>
        <v>9079773.5294117574</v>
      </c>
      <c r="AA20" s="18">
        <f>Discounting!C24*Z20</f>
        <v>3075633.4345694873</v>
      </c>
      <c r="AC20" s="81">
        <f>(($Y20*'Truck Emissions'!D23)*'Truck Emissions'!$C$2)*'Truck Emissions'!P$6*Discounting!$D24</f>
        <v>4916.6500868823487</v>
      </c>
      <c r="AD20" s="81">
        <f>(($Y20*'Truck Emissions'!E23)*'Truck Emissions'!$C$2)*'Truck Emissions'!Q$6*Discounting!$D24</f>
        <v>127022.14026820577</v>
      </c>
      <c r="AE20" s="81">
        <f>(($Y20*'Truck Emissions'!F23)*'Truck Emissions'!$C$2)*'Truck Emissions'!R$6*Discounting!$D24</f>
        <v>4695.9105470922486</v>
      </c>
      <c r="AF20" s="81">
        <f>(($Y20*'Truck Emissions'!G23)*'Truck Emissions'!$C$2)*'Truck Emissions'!S$6*Discounting!$D24</f>
        <v>113131.95279598227</v>
      </c>
      <c r="AG20" s="81">
        <f t="shared" si="1"/>
        <v>249766.65369816261</v>
      </c>
      <c r="AH20" s="81">
        <f>AG20*Discounting!C24</f>
        <v>84604.606983449252</v>
      </c>
      <c r="AJ20" s="81">
        <f>$Y20*('Truck Crashes'!D$4/100000000)*'Truck Crashes'!G$4*Discounting!$D24</f>
        <v>923235.67058823456</v>
      </c>
      <c r="AK20" s="81">
        <f>$Y20*('Truck Crashes'!E$4/100000000)*'Truck Crashes'!H$4*Discounting!$D24</f>
        <v>408525.33705882321</v>
      </c>
      <c r="AL20" s="81">
        <f>$Y20*('Truck Crashes'!F$4/100000000)*'Truck Crashes'!I$4*Discounting!$D24</f>
        <v>27607.346911764682</v>
      </c>
      <c r="AM20" s="81">
        <f t="shared" si="2"/>
        <v>1359368.3545588225</v>
      </c>
      <c r="AN20" s="81">
        <f>AM20*Discounting!C24</f>
        <v>460465.09283890575</v>
      </c>
      <c r="AP20" s="81">
        <f>Y20*'Truck Pavement'!$C$4*Discounting!D24</f>
        <v>719806.57873380964</v>
      </c>
      <c r="AQ20" s="81">
        <f>AP20*Discounting!C24</f>
        <v>243823.39193874216</v>
      </c>
      <c r="AS20" s="18">
        <f t="shared" si="3"/>
        <v>3864526.5263305847</v>
      </c>
    </row>
    <row r="21" spans="2:45" x14ac:dyDescent="0.25">
      <c r="B21" s="20"/>
      <c r="D21">
        <v>2033</v>
      </c>
      <c r="E21" s="20">
        <f>'VMT Build'!C25</f>
        <v>325000</v>
      </c>
      <c r="F21" s="20">
        <f t="shared" si="8"/>
        <v>125000</v>
      </c>
      <c r="G21" s="29">
        <f>IF(SUM(Discounting!$D$8:D24)&gt;5,(F21/$B$3)*($B$5*(1+$B$7)),F21/$B$3*$B$13)</f>
        <v>1121875</v>
      </c>
      <c r="H21" s="18">
        <f>IF(SUM(Discounting!$D$8:D24)&gt;5,G21*$B$9*Discounting!D24,'Truck Diversion Impacts'!F21*'Truck Diversion Impacts'!$B$11*Discounting!D24)</f>
        <v>1895968.75</v>
      </c>
      <c r="I21" s="18">
        <f>H21*Discounting!C24</f>
        <v>642230.21196616837</v>
      </c>
      <c r="K21" s="27"/>
      <c r="L21" s="27"/>
      <c r="T21">
        <v>2034</v>
      </c>
      <c r="U21" s="20">
        <f t="shared" si="6"/>
        <v>573529.4117647059</v>
      </c>
      <c r="V21" s="20">
        <f t="shared" si="7"/>
        <v>529411.76470588241</v>
      </c>
      <c r="W21" s="20">
        <f t="shared" si="4"/>
        <v>44117.647058823495</v>
      </c>
      <c r="X21">
        <v>121.78</v>
      </c>
      <c r="Y21" s="20">
        <f t="shared" si="9"/>
        <v>5372647.058823525</v>
      </c>
      <c r="Z21" s="18">
        <f>Y21*$B$9*Discounting!D25</f>
        <v>9079773.5294117574</v>
      </c>
      <c r="AA21" s="18">
        <f>Discounting!C25*Z21</f>
        <v>2874423.7706256895</v>
      </c>
      <c r="AC21" s="81">
        <f>(($Y21*'Truck Emissions'!D24)*'Truck Emissions'!$C$2)*'Truck Emissions'!P$6*Discounting!$D25</f>
        <v>4819.5953668235261</v>
      </c>
      <c r="AD21" s="81">
        <f>(($Y21*'Truck Emissions'!E24)*'Truck Emissions'!$C$2)*'Truck Emissions'!Q$6*Discounting!$D25</f>
        <v>122699.65444314695</v>
      </c>
      <c r="AE21" s="81">
        <f>(($Y21*'Truck Emissions'!F24)*'Truck Emissions'!$C$2)*'Truck Emissions'!R$6*Discounting!$D25</f>
        <v>4698.1705919072456</v>
      </c>
      <c r="AF21" s="81">
        <f>(($Y21*'Truck Emissions'!G24)*'Truck Emissions'!$C$2)*'Truck Emissions'!S$6*Discounting!$D25</f>
        <v>109852.76575841756</v>
      </c>
      <c r="AG21" s="81">
        <f t="shared" si="1"/>
        <v>242070.18616029527</v>
      </c>
      <c r="AH21" s="81">
        <f>AG21*Discounting!C25</f>
        <v>76633.221633229157</v>
      </c>
      <c r="AJ21" s="81">
        <f>$Y21*('Truck Crashes'!D$4/100000000)*'Truck Crashes'!G$4*Discounting!$D25</f>
        <v>923235.67058823456</v>
      </c>
      <c r="AK21" s="81">
        <f>$Y21*('Truck Crashes'!E$4/100000000)*'Truck Crashes'!H$4*Discounting!$D25</f>
        <v>408525.33705882321</v>
      </c>
      <c r="AL21" s="81">
        <f>$Y21*('Truck Crashes'!F$4/100000000)*'Truck Crashes'!I$4*Discounting!$D25</f>
        <v>27607.346911764682</v>
      </c>
      <c r="AM21" s="81">
        <f t="shared" si="2"/>
        <v>1359368.3545588225</v>
      </c>
      <c r="AN21" s="81">
        <f>AM21*Discounting!C25</f>
        <v>430341.20826065965</v>
      </c>
      <c r="AP21" s="81">
        <f>Y21*'Truck Pavement'!$C$4*Discounting!D25</f>
        <v>719806.57873380964</v>
      </c>
      <c r="AQ21" s="81">
        <f>AP21*Discounting!C25</f>
        <v>227872.32891471233</v>
      </c>
      <c r="AS21" s="18">
        <f t="shared" si="3"/>
        <v>3609270.5294342902</v>
      </c>
    </row>
    <row r="22" spans="2:45" x14ac:dyDescent="0.25">
      <c r="D22">
        <v>2034</v>
      </c>
      <c r="E22" s="20">
        <f>'VMT Build'!C26</f>
        <v>325000</v>
      </c>
      <c r="F22" s="20">
        <f t="shared" si="8"/>
        <v>125000</v>
      </c>
      <c r="G22" s="29">
        <f>IF(SUM(Discounting!$D$8:D25)&gt;5,(F22/$B$3)*($B$5*(1+$B$7)),F22/$B$3*$B$13)</f>
        <v>1121875</v>
      </c>
      <c r="H22" s="18">
        <f>IF(SUM(Discounting!$D$8:D25)&gt;5,G22*$B$9*Discounting!D25,'Truck Diversion Impacts'!F22*'Truck Diversion Impacts'!$B$11*Discounting!D25)</f>
        <v>1895968.75</v>
      </c>
      <c r="I22" s="18">
        <f>H22*Discounting!C25</f>
        <v>600215.15137025085</v>
      </c>
      <c r="K22" s="27"/>
      <c r="L22" s="27"/>
      <c r="T22">
        <v>2035</v>
      </c>
      <c r="U22" s="20">
        <f t="shared" si="6"/>
        <v>573529.4117647059</v>
      </c>
      <c r="V22" s="20">
        <f t="shared" si="7"/>
        <v>529411.76470588241</v>
      </c>
      <c r="W22" s="20">
        <f t="shared" si="4"/>
        <v>44117.647058823495</v>
      </c>
      <c r="X22">
        <v>121.78</v>
      </c>
      <c r="Y22" s="20">
        <f t="shared" si="9"/>
        <v>5372647.058823525</v>
      </c>
      <c r="Z22" s="18">
        <f>Y22*$B$9*Discounting!D26</f>
        <v>9079773.5294117574</v>
      </c>
      <c r="AA22" s="18">
        <f>Discounting!C26*Z22</f>
        <v>2686377.3557249429</v>
      </c>
      <c r="AC22" s="81">
        <f>(($Y22*'Truck Emissions'!D25)*'Truck Emissions'!$C$2)*'Truck Emissions'!P$6*Discounting!$D26</f>
        <v>4722.5406467647017</v>
      </c>
      <c r="AD22" s="81">
        <f>(($Y22*'Truck Emissions'!E25)*'Truck Emissions'!$C$2)*'Truck Emissions'!Q$6*Discounting!$D26</f>
        <v>118377.16861808815</v>
      </c>
      <c r="AE22" s="81">
        <f>(($Y22*'Truck Emissions'!F25)*'Truck Emissions'!$C$2)*'Truck Emissions'!R$6*Discounting!$D26</f>
        <v>4698.0464041501555</v>
      </c>
      <c r="AF22" s="81">
        <f>(($Y22*'Truck Emissions'!G25)*'Truck Emissions'!$C$2)*'Truck Emissions'!S$6*Discounting!$D26</f>
        <v>73781.708345205829</v>
      </c>
      <c r="AG22" s="81">
        <f t="shared" si="1"/>
        <v>201579.46401420882</v>
      </c>
      <c r="AH22" s="81">
        <f>AG22*Discounting!C26</f>
        <v>59640.089673252507</v>
      </c>
      <c r="AJ22" s="81">
        <f>$Y22*('Truck Crashes'!D$4/100000000)*'Truck Crashes'!G$4*Discounting!$D26</f>
        <v>923235.67058823456</v>
      </c>
      <c r="AK22" s="81">
        <f>$Y22*('Truck Crashes'!E$4/100000000)*'Truck Crashes'!H$4*Discounting!$D26</f>
        <v>408525.33705882321</v>
      </c>
      <c r="AL22" s="81">
        <f>$Y22*('Truck Crashes'!F$4/100000000)*'Truck Crashes'!I$4*Discounting!$D26</f>
        <v>27607.346911764682</v>
      </c>
      <c r="AM22" s="81">
        <f t="shared" si="2"/>
        <v>1359368.3545588225</v>
      </c>
      <c r="AN22" s="81">
        <f>AM22*Discounting!C26</f>
        <v>402188.04510342015</v>
      </c>
      <c r="AP22" s="81">
        <f>Y22*'Truck Pavement'!$C$4*Discounting!D26</f>
        <v>719806.57873380964</v>
      </c>
      <c r="AQ22" s="81">
        <f>AP22*Discounting!C26</f>
        <v>212964.79337823577</v>
      </c>
      <c r="AS22" s="18">
        <f t="shared" si="3"/>
        <v>3361170.283879851</v>
      </c>
    </row>
    <row r="23" spans="2:45" x14ac:dyDescent="0.25">
      <c r="D23">
        <v>2035</v>
      </c>
      <c r="E23" s="20">
        <f>'VMT Build'!C27</f>
        <v>325000</v>
      </c>
      <c r="F23" s="20">
        <f t="shared" si="8"/>
        <v>125000</v>
      </c>
      <c r="G23" s="29">
        <f>IF(SUM(Discounting!$D$8:D26)&gt;5,(F23/$B$3)*($B$5*(1+$B$7)),F23/$B$3*$B$13)</f>
        <v>1121875</v>
      </c>
      <c r="H23" s="18">
        <f>IF(SUM(Discounting!$D$8:D26)&gt;5,G23*$B$9*Discounting!D26,'Truck Diversion Impacts'!F23*'Truck Diversion Impacts'!$B$11*Discounting!D26)</f>
        <v>1895968.75</v>
      </c>
      <c r="I23" s="18">
        <f>H23*Discounting!C26</f>
        <v>560948.73959836527</v>
      </c>
      <c r="K23" s="27"/>
      <c r="L23" s="27"/>
      <c r="T23">
        <v>2036</v>
      </c>
      <c r="U23" s="20">
        <f t="shared" si="6"/>
        <v>573529.4117647059</v>
      </c>
      <c r="V23" s="20">
        <f t="shared" si="7"/>
        <v>529411.76470588241</v>
      </c>
      <c r="W23" s="20">
        <f t="shared" si="4"/>
        <v>44117.647058823495</v>
      </c>
      <c r="X23">
        <v>121.78</v>
      </c>
      <c r="Y23" s="20">
        <f t="shared" si="9"/>
        <v>5372647.058823525</v>
      </c>
      <c r="Z23" s="18">
        <f>Y23*$B$9*Discounting!D27</f>
        <v>9079773.5294117574</v>
      </c>
      <c r="AA23" s="18">
        <f>Discounting!C27*Z23</f>
        <v>2510633.0427335915</v>
      </c>
      <c r="AC23" s="81">
        <f>(($Y23*'Truck Emissions'!D26)*'Truck Emissions'!$C$2)*'Truck Emissions'!P$6*Discounting!$D27</f>
        <v>4705.9703287058792</v>
      </c>
      <c r="AD23" s="81">
        <f>(($Y23*'Truck Emissions'!E26)*'Truck Emissions'!$C$2)*'Truck Emissions'!Q$6*Discounting!$D27</f>
        <v>117493.02379023519</v>
      </c>
      <c r="AE23" s="81">
        <f>(($Y23*'Truck Emissions'!F26)*'Truck Emissions'!$C$2)*'Truck Emissions'!R$6*Discounting!$D27</f>
        <v>4697.9186989059435</v>
      </c>
      <c r="AF23" s="81">
        <f>(($Y23*'Truck Emissions'!G26)*'Truck Emissions'!$C$2)*'Truck Emissions'!S$6*Discounting!$D27</f>
        <v>72440.222738929355</v>
      </c>
      <c r="AG23" s="81">
        <f t="shared" si="1"/>
        <v>199337.13555677637</v>
      </c>
      <c r="AH23" s="81">
        <f>AG23*Discounting!C27</f>
        <v>55118.379059959974</v>
      </c>
      <c r="AJ23" s="81">
        <f>$Y23*('Truck Crashes'!D$4/100000000)*'Truck Crashes'!G$4*Discounting!$D27</f>
        <v>923235.67058823456</v>
      </c>
      <c r="AK23" s="81">
        <f>$Y23*('Truck Crashes'!E$4/100000000)*'Truck Crashes'!H$4*Discounting!$D27</f>
        <v>408525.33705882321</v>
      </c>
      <c r="AL23" s="81">
        <f>$Y23*('Truck Crashes'!F$4/100000000)*'Truck Crashes'!I$4*Discounting!$D27</f>
        <v>27607.346911764682</v>
      </c>
      <c r="AM23" s="81">
        <f t="shared" si="2"/>
        <v>1359368.3545588225</v>
      </c>
      <c r="AN23" s="81">
        <f>AM23*Discounting!C27</f>
        <v>375876.67766674783</v>
      </c>
      <c r="AP23" s="81">
        <f>Y23*'Truck Pavement'!$C$4*Discounting!D27</f>
        <v>719806.57873380964</v>
      </c>
      <c r="AQ23" s="81">
        <f>AP23*Discounting!C27</f>
        <v>199032.5171759213</v>
      </c>
      <c r="AS23" s="18">
        <f t="shared" si="3"/>
        <v>3140660.6166362208</v>
      </c>
    </row>
    <row r="24" spans="2:45" x14ac:dyDescent="0.25">
      <c r="D24">
        <v>2036</v>
      </c>
      <c r="E24" s="20">
        <f>'VMT Build'!C28</f>
        <v>325000</v>
      </c>
      <c r="F24" s="20">
        <f t="shared" si="8"/>
        <v>125000</v>
      </c>
      <c r="G24" s="29">
        <f>IF(SUM(Discounting!$D$8:D27)&gt;5,(F24/$B$3)*($B$5*(1+$B$7)),F24/$B$3*$B$13)</f>
        <v>1121875</v>
      </c>
      <c r="H24" s="18">
        <f>IF(SUM(Discounting!$D$8:D27)&gt;5,G24*$B$9*Discounting!D27,'Truck Diversion Impacts'!F24*'Truck Diversion Impacts'!$B$11*Discounting!D27)</f>
        <v>1895968.75</v>
      </c>
      <c r="I24" s="18">
        <f>H24*Discounting!C27</f>
        <v>524251.1585031451</v>
      </c>
      <c r="K24" s="27"/>
      <c r="L24" s="27"/>
      <c r="T24">
        <v>2037</v>
      </c>
      <c r="U24" s="20">
        <f t="shared" si="6"/>
        <v>573529.4117647059</v>
      </c>
      <c r="V24" s="20">
        <f t="shared" si="7"/>
        <v>529411.76470588241</v>
      </c>
      <c r="W24" s="20">
        <f t="shared" si="4"/>
        <v>44117.647058823495</v>
      </c>
      <c r="X24">
        <v>121.78</v>
      </c>
      <c r="Y24" s="20">
        <f t="shared" si="9"/>
        <v>5372647.058823525</v>
      </c>
      <c r="Z24" s="18">
        <f>Y24*$B$9*Discounting!D28</f>
        <v>9079773.5294117574</v>
      </c>
      <c r="AA24" s="18">
        <f>Discounting!C28*Z24</f>
        <v>2346386.0212463476</v>
      </c>
      <c r="AC24" s="81">
        <f>(($Y24*'Truck Emissions'!D27)*'Truck Emissions'!$C$2)*'Truck Emissions'!P$6*Discounting!$D28</f>
        <v>4689.4000106470548</v>
      </c>
      <c r="AD24" s="81">
        <f>(($Y24*'Truck Emissions'!E27)*'Truck Emissions'!$C$2)*'Truck Emissions'!Q$6*Discounting!$D28</f>
        <v>116608.87896238224</v>
      </c>
      <c r="AE24" s="81">
        <f>(($Y24*'Truck Emissions'!F27)*'Truck Emissions'!$C$2)*'Truck Emissions'!R$6*Discounting!$D28</f>
        <v>4697.7839738444591</v>
      </c>
      <c r="AF24" s="81">
        <f>(($Y24*'Truck Emissions'!G27)*'Truck Emissions'!$C$2)*'Truck Emissions'!S$6*Discounting!$D28</f>
        <v>71098.737132652866</v>
      </c>
      <c r="AG24" s="81">
        <f t="shared" si="1"/>
        <v>197094.80007952661</v>
      </c>
      <c r="AH24" s="81">
        <f>AG24*Discounting!C28</f>
        <v>50933.041696350076</v>
      </c>
      <c r="AJ24" s="81">
        <f>$Y24*('Truck Crashes'!D$4/100000000)*'Truck Crashes'!G$4*Discounting!$D28</f>
        <v>923235.67058823456</v>
      </c>
      <c r="AK24" s="81">
        <f>$Y24*('Truck Crashes'!E$4/100000000)*'Truck Crashes'!H$4*Discounting!$D28</f>
        <v>408525.33705882321</v>
      </c>
      <c r="AL24" s="81">
        <f>$Y24*('Truck Crashes'!F$4/100000000)*'Truck Crashes'!I$4*Discounting!$D28</f>
        <v>27607.346911764682</v>
      </c>
      <c r="AM24" s="81">
        <f t="shared" si="2"/>
        <v>1359368.3545588225</v>
      </c>
      <c r="AN24" s="81">
        <f>AM24*Discounting!C28</f>
        <v>351286.61464182043</v>
      </c>
      <c r="AP24" s="81">
        <f>Y24*'Truck Pavement'!$C$4*Discounting!D28</f>
        <v>719806.57873380964</v>
      </c>
      <c r="AQ24" s="81">
        <f>AP24*Discounting!C28</f>
        <v>186011.69829525356</v>
      </c>
      <c r="AS24" s="18">
        <f t="shared" si="3"/>
        <v>2934617.375879772</v>
      </c>
    </row>
    <row r="25" spans="2:45" x14ac:dyDescent="0.25">
      <c r="D25">
        <v>2037</v>
      </c>
      <c r="E25" s="20">
        <f>'VMT Build'!C29</f>
        <v>325000</v>
      </c>
      <c r="F25" s="20">
        <f t="shared" si="8"/>
        <v>125000</v>
      </c>
      <c r="G25" s="29">
        <f>IF(SUM(Discounting!$D$8:D28)&gt;5,(F25/$B$3)*($B$5*(1+$B$7)),F25/$B$3*$B$13)</f>
        <v>1121875</v>
      </c>
      <c r="H25" s="18">
        <f>IF(SUM(Discounting!$D$8:D28)&gt;5,G25*$B$9*Discounting!D28,'Truck Diversion Impacts'!F25*'Truck Diversion Impacts'!$B$11*Discounting!D28)</f>
        <v>1895968.75</v>
      </c>
      <c r="I25" s="18">
        <f>H25*Discounting!C28</f>
        <v>489954.3537412571</v>
      </c>
      <c r="K25" s="27"/>
      <c r="L25" s="27"/>
      <c r="T25">
        <v>2038</v>
      </c>
      <c r="U25" s="20">
        <f t="shared" si="6"/>
        <v>573529.4117647059</v>
      </c>
      <c r="V25" s="20">
        <f t="shared" si="7"/>
        <v>529411.76470588241</v>
      </c>
      <c r="W25" s="20">
        <f t="shared" si="4"/>
        <v>44117.647058823495</v>
      </c>
      <c r="X25">
        <v>121.78</v>
      </c>
      <c r="Y25" s="20">
        <f t="shared" si="9"/>
        <v>5372647.058823525</v>
      </c>
      <c r="Z25" s="18">
        <f>Y25*$B$9*Discounting!D29</f>
        <v>9079773.5294117574</v>
      </c>
      <c r="AA25" s="18">
        <f>Discounting!C29*Z25</f>
        <v>2192884.1320059323</v>
      </c>
      <c r="AC25" s="81">
        <f>(($Y25*'Truck Emissions'!D28)*'Truck Emissions'!$C$2)*'Truck Emissions'!P$6*Discounting!$D29</f>
        <v>4672.8296925882323</v>
      </c>
      <c r="AD25" s="81">
        <f>(($Y25*'Truck Emissions'!E28)*'Truck Emissions'!$C$2)*'Truck Emissions'!Q$6*Discounting!$D29</f>
        <v>115724.7341345293</v>
      </c>
      <c r="AE25" s="81">
        <f>(($Y25*'Truck Emissions'!F28)*'Truck Emissions'!$C$2)*'Truck Emissions'!R$6*Discounting!$D29</f>
        <v>4697.6416141272857</v>
      </c>
      <c r="AF25" s="81">
        <f>(($Y25*'Truck Emissions'!G28)*'Truck Emissions'!$C$2)*'Truck Emissions'!S$6*Discounting!$D29</f>
        <v>69757.251526376407</v>
      </c>
      <c r="AG25" s="81">
        <f t="shared" si="1"/>
        <v>194852.45696762123</v>
      </c>
      <c r="AH25" s="81">
        <f>AG25*Discounting!C29</f>
        <v>47059.418341499942</v>
      </c>
      <c r="AJ25" s="81">
        <f>$Y25*('Truck Crashes'!D$4/100000000)*'Truck Crashes'!G$4*Discounting!$D29</f>
        <v>923235.67058823456</v>
      </c>
      <c r="AK25" s="81">
        <f>$Y25*('Truck Crashes'!E$4/100000000)*'Truck Crashes'!H$4*Discounting!$D29</f>
        <v>408525.33705882321</v>
      </c>
      <c r="AL25" s="81">
        <f>$Y25*('Truck Crashes'!F$4/100000000)*'Truck Crashes'!I$4*Discounting!$D29</f>
        <v>27607.346911764682</v>
      </c>
      <c r="AM25" s="81">
        <f t="shared" si="2"/>
        <v>1359368.3545588225</v>
      </c>
      <c r="AN25" s="81">
        <f>AM25*Discounting!C29</f>
        <v>328305.24732880411</v>
      </c>
      <c r="AP25" s="81">
        <f>Y25*'Truck Pavement'!$C$4*Discounting!D29</f>
        <v>719806.57873380964</v>
      </c>
      <c r="AQ25" s="81">
        <f>AP25*Discounting!C29</f>
        <v>173842.70868715286</v>
      </c>
      <c r="AS25" s="18">
        <f t="shared" si="3"/>
        <v>2742091.5063633891</v>
      </c>
    </row>
    <row r="26" spans="2:45" x14ac:dyDescent="0.25">
      <c r="D26">
        <v>2038</v>
      </c>
      <c r="E26" s="20">
        <f>'VMT Build'!C30</f>
        <v>325000</v>
      </c>
      <c r="F26" s="20">
        <f t="shared" si="8"/>
        <v>125000</v>
      </c>
      <c r="G26" s="29">
        <f>IF(SUM(Discounting!$D$8:D29)&gt;5,(F26/$B$3)*($B$5*(1+$B$7)),F26/$B$3*$B$13)</f>
        <v>1121875</v>
      </c>
      <c r="H26" s="18">
        <f>IF(SUM(Discounting!$D$8:D29)&gt;5,G26*$B$9*Discounting!D29,'Truck Diversion Impacts'!F26*'Truck Diversion Impacts'!$B$11*Discounting!D29)</f>
        <v>1895968.75</v>
      </c>
      <c r="I26" s="18">
        <f>H26*Discounting!C29</f>
        <v>457901.26517874497</v>
      </c>
      <c r="K26" s="27"/>
      <c r="L26" s="27"/>
      <c r="T26">
        <v>2039</v>
      </c>
      <c r="U26" s="20">
        <f t="shared" si="6"/>
        <v>573529.4117647059</v>
      </c>
      <c r="V26" s="20">
        <f t="shared" si="7"/>
        <v>529411.76470588241</v>
      </c>
      <c r="W26" s="20">
        <f t="shared" si="4"/>
        <v>44117.647058823495</v>
      </c>
      <c r="X26">
        <v>121.78</v>
      </c>
      <c r="Y26" s="20">
        <f t="shared" si="9"/>
        <v>5372647.058823525</v>
      </c>
      <c r="Z26" s="18">
        <f>Y26*$B$9*Discounting!D30</f>
        <v>9079773.5294117574</v>
      </c>
      <c r="AA26" s="18">
        <f>Discounting!C30*Z26</f>
        <v>2049424.4224354506</v>
      </c>
      <c r="AC26" s="81">
        <f>(($Y26*'Truck Emissions'!D29)*'Truck Emissions'!$C$2)*'Truck Emissions'!P$6*Discounting!$D30</f>
        <v>4656.2593745294071</v>
      </c>
      <c r="AD26" s="81">
        <f>(($Y26*'Truck Emissions'!E29)*'Truck Emissions'!$C$2)*'Truck Emissions'!Q$6*Discounting!$D30</f>
        <v>114840.58930667632</v>
      </c>
      <c r="AE26" s="81">
        <f>(($Y26*'Truck Emissions'!F29)*'Truck Emissions'!$C$2)*'Truck Emissions'!R$6*Discounting!$D30</f>
        <v>4697.6416141272857</v>
      </c>
      <c r="AF26" s="81">
        <f>(($Y26*'Truck Emissions'!G29)*'Truck Emissions'!$C$2)*'Truck Emissions'!S$6*Discounting!$D30</f>
        <v>68415.765920099933</v>
      </c>
      <c r="AG26" s="81">
        <f t="shared" si="1"/>
        <v>192610.25621543295</v>
      </c>
      <c r="AH26" s="81">
        <f>AG26*Discounting!C30</f>
        <v>43474.670576396136</v>
      </c>
      <c r="AJ26" s="81">
        <f>$Y26*('Truck Crashes'!D$4/100000000)*'Truck Crashes'!G$4*Discounting!$D30</f>
        <v>923235.67058823456</v>
      </c>
      <c r="AK26" s="81">
        <f>$Y26*('Truck Crashes'!E$4/100000000)*'Truck Crashes'!H$4*Discounting!$D30</f>
        <v>408525.33705882321</v>
      </c>
      <c r="AL26" s="81">
        <f>$Y26*('Truck Crashes'!F$4/100000000)*'Truck Crashes'!I$4*Discounting!$D30</f>
        <v>27607.346911764682</v>
      </c>
      <c r="AM26" s="81">
        <f t="shared" si="2"/>
        <v>1359368.3545588225</v>
      </c>
      <c r="AN26" s="81">
        <f>AM26*Discounting!C30</f>
        <v>306827.33395215339</v>
      </c>
      <c r="AP26" s="81">
        <f>Y26*'Truck Pavement'!$C$4*Discounting!D30</f>
        <v>719806.57873380964</v>
      </c>
      <c r="AQ26" s="81">
        <f>AP26*Discounting!C30</f>
        <v>162469.82120294659</v>
      </c>
      <c r="AS26" s="18">
        <f t="shared" si="3"/>
        <v>2562196.2481669467</v>
      </c>
    </row>
    <row r="27" spans="2:45" x14ac:dyDescent="0.25">
      <c r="B27" s="18"/>
      <c r="D27">
        <v>2039</v>
      </c>
      <c r="E27" s="20">
        <f>'VMT Build'!C31</f>
        <v>325000</v>
      </c>
      <c r="F27" s="20">
        <f t="shared" si="8"/>
        <v>125000</v>
      </c>
      <c r="G27" s="29">
        <f>IF(SUM(Discounting!$D$8:D30)&gt;5,(F27/$B$3)*($B$5*(1+$B$7)),F27/$B$3*$B$13)</f>
        <v>1121875</v>
      </c>
      <c r="H27" s="18">
        <f>IF(SUM(Discounting!$D$8:D30)&gt;5,G27*$B$9*Discounting!D30,'Truck Diversion Impacts'!F27*'Truck Diversion Impacts'!$B$11*Discounting!D30)</f>
        <v>1895968.75</v>
      </c>
      <c r="I27" s="18">
        <f>H27*Discounting!C30</f>
        <v>427945.10764368688</v>
      </c>
      <c r="K27" s="27"/>
      <c r="L27" s="27"/>
      <c r="T27">
        <v>2040</v>
      </c>
      <c r="U27" s="20">
        <f t="shared" si="6"/>
        <v>573529.4117647059</v>
      </c>
      <c r="V27" s="20">
        <f t="shared" si="7"/>
        <v>529411.76470588241</v>
      </c>
      <c r="W27" s="20">
        <f t="shared" si="4"/>
        <v>44117.647058823495</v>
      </c>
      <c r="X27">
        <v>121.78</v>
      </c>
      <c r="Y27" s="20">
        <f t="shared" si="9"/>
        <v>5372647.058823525</v>
      </c>
      <c r="Z27" s="18">
        <f>Y27*$B$9*Discounting!D31</f>
        <v>9079773.5294117574</v>
      </c>
      <c r="AA27" s="18">
        <f>Discounting!C31*Z27</f>
        <v>1915349.9275097668</v>
      </c>
      <c r="AC27" s="81">
        <f>(($Y27*'Truck Emissions'!D30)*'Truck Emissions'!$C$2)*'Truck Emissions'!P$6*Discounting!$D31</f>
        <v>4639.6890564705836</v>
      </c>
      <c r="AD27" s="81">
        <f>(($Y27*'Truck Emissions'!E30)*'Truck Emissions'!$C$2)*'Truck Emissions'!Q$6*Discounting!$D31</f>
        <v>113956.44447882344</v>
      </c>
      <c r="AE27" s="81">
        <f>(($Y27*'Truck Emissions'!F30)*'Truck Emissions'!$C$2)*'Truck Emissions'!R$6*Discounting!$D31</f>
        <v>4697.6416141272857</v>
      </c>
      <c r="AF27" s="81">
        <f>(($Y27*'Truck Emissions'!G30)*'Truck Emissions'!$C$2)*'Truck Emissions'!S$6*Discounting!$D31</f>
        <v>67074.280313823474</v>
      </c>
      <c r="AG27" s="81">
        <f t="shared" si="1"/>
        <v>190368.05546324479</v>
      </c>
      <c r="AH27" s="81">
        <f>AG27*Discounting!C31</f>
        <v>40157.54798845997</v>
      </c>
      <c r="AJ27" s="81">
        <f>$Y27*('Truck Crashes'!D$4/100000000)*'Truck Crashes'!G$4*Discounting!$D31</f>
        <v>923235.67058823456</v>
      </c>
      <c r="AK27" s="81">
        <f>$Y27*('Truck Crashes'!E$4/100000000)*'Truck Crashes'!H$4*Discounting!$D31</f>
        <v>408525.33705882321</v>
      </c>
      <c r="AL27" s="81">
        <f>$Y27*('Truck Crashes'!F$4/100000000)*'Truck Crashes'!I$4*Discounting!$D31</f>
        <v>27607.346911764682</v>
      </c>
      <c r="AM27" s="81">
        <f t="shared" si="2"/>
        <v>1359368.3545588225</v>
      </c>
      <c r="AN27" s="81">
        <f>AM27*Discounting!C31</f>
        <v>286754.51771229284</v>
      </c>
      <c r="AP27" s="81">
        <f>Y27*'Truck Pavement'!$C$4*Discounting!D31</f>
        <v>719806.57873380964</v>
      </c>
      <c r="AQ27" s="81">
        <f>AP27*Discounting!C31</f>
        <v>151840.95439527719</v>
      </c>
      <c r="AS27" s="18">
        <f t="shared" si="3"/>
        <v>2394102.9476057971</v>
      </c>
    </row>
    <row r="28" spans="2:45" x14ac:dyDescent="0.25">
      <c r="D28">
        <v>2040</v>
      </c>
      <c r="E28" s="20">
        <f>'VMT Build'!C32</f>
        <v>325000</v>
      </c>
      <c r="F28" s="20">
        <f t="shared" si="8"/>
        <v>125000</v>
      </c>
      <c r="G28" s="29">
        <f>IF(SUM(Discounting!$D$8:D31)&gt;5,(F28/$B$3)*($B$5*(1+$B$7)),F28/$B$3*$B$13)</f>
        <v>1121875</v>
      </c>
      <c r="H28" s="18">
        <f>IF(SUM(Discounting!$D$8:D31)&gt;5,G28*$B$9*Discounting!D31,'Truck Diversion Impacts'!F28*'Truck Diversion Impacts'!$B$11*Discounting!D31)</f>
        <v>1895968.75</v>
      </c>
      <c r="I28" s="18">
        <f>H28*Discounting!C31</f>
        <v>399948.6987324176</v>
      </c>
      <c r="K28" s="27"/>
      <c r="L28" s="27"/>
      <c r="T28">
        <v>2041</v>
      </c>
      <c r="U28" s="20">
        <f t="shared" si="6"/>
        <v>573529.4117647059</v>
      </c>
      <c r="V28" s="20">
        <f t="shared" si="7"/>
        <v>529411.76470588241</v>
      </c>
      <c r="W28" s="20">
        <f t="shared" si="4"/>
        <v>44117.647058823495</v>
      </c>
      <c r="X28">
        <v>121.78</v>
      </c>
      <c r="Y28" s="20">
        <f t="shared" si="9"/>
        <v>5372647.058823525</v>
      </c>
      <c r="Z28" s="18">
        <f>Y28*$B$9*Discounting!D32</f>
        <v>9079773.5294117574</v>
      </c>
      <c r="AA28" s="18">
        <f>Discounting!C32*Z28</f>
        <v>1790046.6612240812</v>
      </c>
      <c r="AC28" s="81">
        <f>(($Y28*'Truck Emissions'!D31)*'Truck Emissions'!$C$2)*'Truck Emissions'!P$6*Discounting!$D32</f>
        <v>4623.1777075151749</v>
      </c>
      <c r="AD28" s="81">
        <f>(($Y28*'Truck Emissions'!E31)*'Truck Emissions'!$C$2)*'Truck Emissions'!Q$6*Discounting!$D32</f>
        <v>113079.10658292151</v>
      </c>
      <c r="AE28" s="81">
        <f>(($Y28*'Truck Emissions'!F31)*'Truck Emissions'!$C$2)*'Truck Emissions'!R$6*Discounting!$D32</f>
        <v>4697.6416141272857</v>
      </c>
      <c r="AF28" s="81">
        <f>(($Y28*'Truck Emissions'!G31)*'Truck Emissions'!$C$2)*'Truck Emissions'!S$6*Discounting!$D32</f>
        <v>65759.098346885759</v>
      </c>
      <c r="AG28" s="81">
        <f t="shared" si="1"/>
        <v>188159.02425144974</v>
      </c>
      <c r="AH28" s="81">
        <f>AG28*Discounting!C32</f>
        <v>37094.915644036919</v>
      </c>
      <c r="AJ28" s="81">
        <f>$Y28*('Truck Crashes'!D$4/100000000)*'Truck Crashes'!G$4*Discounting!$D32</f>
        <v>923235.67058823456</v>
      </c>
      <c r="AK28" s="81">
        <f>$Y28*('Truck Crashes'!E$4/100000000)*'Truck Crashes'!H$4*Discounting!$D32</f>
        <v>408525.33705882321</v>
      </c>
      <c r="AL28" s="81">
        <f>$Y28*('Truck Crashes'!F$4/100000000)*'Truck Crashes'!I$4*Discounting!$D32</f>
        <v>27607.346911764682</v>
      </c>
      <c r="AM28" s="81">
        <f t="shared" si="2"/>
        <v>1359368.3545588225</v>
      </c>
      <c r="AN28" s="81">
        <f>AM28*Discounting!C32</f>
        <v>267994.87636662886</v>
      </c>
      <c r="AP28" s="81">
        <f>Y28*'Truck Pavement'!$C$4*Discounting!D32</f>
        <v>719806.57873380964</v>
      </c>
      <c r="AQ28" s="81">
        <f>AP28*Discounting!C32</f>
        <v>141907.43401427774</v>
      </c>
      <c r="AS28" s="18">
        <f t="shared" si="3"/>
        <v>2237043.8872490246</v>
      </c>
    </row>
    <row r="29" spans="2:45" x14ac:dyDescent="0.25">
      <c r="D29">
        <v>2041</v>
      </c>
      <c r="E29" s="20">
        <f>'VMT Build'!C33</f>
        <v>325000</v>
      </c>
      <c r="F29" s="20">
        <f t="shared" si="8"/>
        <v>125000</v>
      </c>
      <c r="G29" s="29">
        <f>IF(SUM(Discounting!$D$8:D32)&gt;5,(F29/$B$3)*($B$5*(1+$B$7)),F29/$B$3*$B$13)</f>
        <v>1121875</v>
      </c>
      <c r="H29" s="18">
        <f>IF(SUM(Discounting!$D$8:D32)&gt;5,G29*$B$9*Discounting!D32,'Truck Diversion Impacts'!F29*'Truck Diversion Impacts'!$B$11*Discounting!D32)</f>
        <v>1895968.75</v>
      </c>
      <c r="I29" s="18">
        <f>H29*Discounting!C32</f>
        <v>373783.83059104451</v>
      </c>
      <c r="K29" s="27"/>
      <c r="L29" s="27"/>
      <c r="T29">
        <v>2042</v>
      </c>
      <c r="U29" s="20">
        <f t="shared" si="6"/>
        <v>573529.4117647059</v>
      </c>
      <c r="V29" s="20">
        <f t="shared" si="7"/>
        <v>529411.76470588241</v>
      </c>
      <c r="W29" s="20">
        <f t="shared" si="4"/>
        <v>44117.647058823495</v>
      </c>
      <c r="X29">
        <v>121.78</v>
      </c>
      <c r="Y29" s="20">
        <f t="shared" si="9"/>
        <v>5372647.058823525</v>
      </c>
      <c r="Z29" s="18">
        <f>Y29*$B$9*Discounting!D33</f>
        <v>9079773.5294117574</v>
      </c>
      <c r="AA29" s="18">
        <f>Discounting!C33*Z29</f>
        <v>1672940.8048823187</v>
      </c>
      <c r="AC29" s="81">
        <f>(($Y29*'Truck Emissions'!D32)*'Truck Emissions'!$C$2)*'Truck Emissions'!P$6*Discounting!$D33</f>
        <v>4606.7251178087154</v>
      </c>
      <c r="AD29" s="81">
        <f>(($Y29*'Truck Emissions'!E32)*'Truck Emissions'!$C$2)*'Truck Emissions'!Q$6*Discounting!$D33</f>
        <v>112208.52321316423</v>
      </c>
      <c r="AE29" s="81">
        <f>(($Y29*'Truck Emissions'!F32)*'Truck Emissions'!$C$2)*'Truck Emissions'!R$6*Discounting!$D33</f>
        <v>4697.6416141272857</v>
      </c>
      <c r="AF29" s="81">
        <f>(($Y29*'Truck Emissions'!G32)*'Truck Emissions'!$C$2)*'Truck Emissions'!S$6*Discounting!$D33</f>
        <v>64469.704261652718</v>
      </c>
      <c r="AG29" s="81">
        <f t="shared" si="1"/>
        <v>185982.59420675295</v>
      </c>
      <c r="AH29" s="81">
        <f>AG29*Discounting!C33</f>
        <v>34267.140016046673</v>
      </c>
      <c r="AJ29" s="81">
        <f>$Y29*('Truck Crashes'!D$4/100000000)*'Truck Crashes'!G$4*Discounting!$D33</f>
        <v>923235.67058823456</v>
      </c>
      <c r="AK29" s="81">
        <f>$Y29*('Truck Crashes'!E$4/100000000)*'Truck Crashes'!H$4*Discounting!$D33</f>
        <v>408525.33705882321</v>
      </c>
      <c r="AL29" s="81">
        <f>$Y29*('Truck Crashes'!F$4/100000000)*'Truck Crashes'!I$4*Discounting!$D33</f>
        <v>27607.346911764682</v>
      </c>
      <c r="AM29" s="81">
        <f t="shared" si="2"/>
        <v>1359368.3545588225</v>
      </c>
      <c r="AN29" s="81">
        <f>AM29*Discounting!C33</f>
        <v>250462.50127722317</v>
      </c>
      <c r="AP29" s="81">
        <f>Y29*'Truck Pavement'!$C$4*Discounting!D33</f>
        <v>719806.57873380964</v>
      </c>
      <c r="AQ29" s="81">
        <f>AP29*Discounting!C33</f>
        <v>132623.77010680162</v>
      </c>
      <c r="AS29" s="18">
        <f t="shared" si="3"/>
        <v>2090294.2162823901</v>
      </c>
    </row>
    <row r="30" spans="2:45" x14ac:dyDescent="0.25">
      <c r="D30">
        <v>2042</v>
      </c>
      <c r="E30" s="20">
        <f>'VMT Build'!C34</f>
        <v>325000</v>
      </c>
      <c r="F30" s="20">
        <f t="shared" si="8"/>
        <v>125000</v>
      </c>
      <c r="G30" s="29">
        <f>IF(SUM(Discounting!$D$8:D33)&gt;5,(F30/$B$3)*($B$5*(1+$B$7)),F30/$B$3*$B$13)</f>
        <v>1121875</v>
      </c>
      <c r="H30" s="18">
        <f>IF(SUM(Discounting!$D$8:D33)&gt;5,G30*$B$9*Discounting!D33,'Truck Diversion Impacts'!F30*'Truck Diversion Impacts'!$B$11*Discounting!D33)</f>
        <v>1895968.75</v>
      </c>
      <c r="I30" s="18">
        <f>H30*Discounting!C33</f>
        <v>349330.68279536866</v>
      </c>
      <c r="K30" s="27"/>
      <c r="L30" s="27"/>
      <c r="T30">
        <v>2043</v>
      </c>
      <c r="U30" s="20">
        <f t="shared" si="6"/>
        <v>573529.4117647059</v>
      </c>
      <c r="V30" s="20">
        <f t="shared" si="7"/>
        <v>529411.76470588241</v>
      </c>
      <c r="W30" s="20">
        <f t="shared" si="4"/>
        <v>44117.647058823495</v>
      </c>
      <c r="X30">
        <v>121.78</v>
      </c>
      <c r="Y30" s="20">
        <f t="shared" si="9"/>
        <v>5372647.058823525</v>
      </c>
      <c r="Z30" s="18">
        <f>Y30*$B$9*Discounting!D34</f>
        <v>9079773.5294117574</v>
      </c>
      <c r="AA30" s="18">
        <f>Discounting!C34*Z30</f>
        <v>1563496.0793292699</v>
      </c>
      <c r="AC30" s="81">
        <f>(($Y30*'Truck Emissions'!D33)*'Truck Emissions'!$C$2)*'Truck Emissions'!P$6*Discounting!$D34</f>
        <v>4590.3310782435601</v>
      </c>
      <c r="AD30" s="81">
        <f>(($Y30*'Truck Emissions'!E33)*'Truck Emissions'!$C$2)*'Truck Emissions'!Q$6*Discounting!$D34</f>
        <v>111344.64236721175</v>
      </c>
      <c r="AE30" s="81">
        <f>(($Y30*'Truck Emissions'!F33)*'Truck Emissions'!$C$2)*'Truck Emissions'!R$6*Discounting!$D34</f>
        <v>4697.6416141272857</v>
      </c>
      <c r="AF30" s="81">
        <f>(($Y30*'Truck Emissions'!G33)*'Truck Emissions'!$C$2)*'Truck Emissions'!S$6*Discounting!$D34</f>
        <v>63205.592413385028</v>
      </c>
      <c r="AG30" s="81">
        <f t="shared" si="1"/>
        <v>183838.20747296762</v>
      </c>
      <c r="AH30" s="81">
        <f>AG30*Discounting!C34</f>
        <v>31656.110770146846</v>
      </c>
      <c r="AJ30" s="81">
        <f>$Y30*('Truck Crashes'!D$4/100000000)*'Truck Crashes'!G$4*Discounting!$D34</f>
        <v>923235.67058823456</v>
      </c>
      <c r="AK30" s="81">
        <f>$Y30*('Truck Crashes'!E$4/100000000)*'Truck Crashes'!H$4*Discounting!$D34</f>
        <v>408525.33705882321</v>
      </c>
      <c r="AL30" s="81">
        <f>$Y30*('Truck Crashes'!F$4/100000000)*'Truck Crashes'!I$4*Discounting!$D34</f>
        <v>27607.346911764682</v>
      </c>
      <c r="AM30" s="81">
        <f t="shared" si="2"/>
        <v>1359368.3545588225</v>
      </c>
      <c r="AN30" s="81">
        <f>AM30*Discounting!C34</f>
        <v>234077.10399740489</v>
      </c>
      <c r="AP30" s="81">
        <f>Y30*'Truck Pavement'!$C$4*Discounting!D34</f>
        <v>719806.57873380964</v>
      </c>
      <c r="AQ30" s="81">
        <f>AP30*Discounting!C34</f>
        <v>123947.44869794545</v>
      </c>
      <c r="AS30" s="18">
        <f t="shared" si="3"/>
        <v>1953176.742794767</v>
      </c>
    </row>
    <row r="31" spans="2:45" x14ac:dyDescent="0.25">
      <c r="D31">
        <v>2043</v>
      </c>
      <c r="E31" s="20">
        <f>'VMT Build'!C35</f>
        <v>325000</v>
      </c>
      <c r="F31" s="20">
        <f t="shared" si="8"/>
        <v>125000</v>
      </c>
      <c r="G31" s="29">
        <f>IF(SUM(Discounting!$D$8:D34)&gt;5,(F31/$B$3)*($B$5*(1+$B$7)),F31/$B$3*$B$13)</f>
        <v>1121875</v>
      </c>
      <c r="H31" s="18">
        <f>IF(SUM(Discounting!$D$8:D34)&gt;5,G31*$B$9*Discounting!D34,'Truck Diversion Impacts'!F31*'Truck Diversion Impacts'!$B$11*Discounting!D34)</f>
        <v>1895968.75</v>
      </c>
      <c r="I31" s="18">
        <f>H31*Discounting!C34</f>
        <v>326477.27364053152</v>
      </c>
      <c r="K31" s="27"/>
      <c r="L31" s="27"/>
      <c r="T31">
        <v>2044</v>
      </c>
      <c r="U31" s="20">
        <f t="shared" si="6"/>
        <v>573529.4117647059</v>
      </c>
      <c r="V31" s="20">
        <f t="shared" si="7"/>
        <v>529411.76470588241</v>
      </c>
      <c r="W31" s="20">
        <f t="shared" si="4"/>
        <v>44117.647058823495</v>
      </c>
      <c r="X31">
        <v>121.78</v>
      </c>
      <c r="Y31" s="20">
        <f t="shared" si="9"/>
        <v>5372647.058823525</v>
      </c>
      <c r="Z31" s="18">
        <f>Y31*$B$9*Discounting!D35</f>
        <v>9079773.5294117574</v>
      </c>
      <c r="AA31" s="18">
        <f>Discounting!C35*Z31</f>
        <v>1461211.2890927754</v>
      </c>
      <c r="AC31" s="81">
        <f>(($Y31*'Truck Emissions'!D34)*'Truck Emissions'!$C$2)*'Truck Emissions'!P$6*Discounting!$D35</f>
        <v>4573.9953804562165</v>
      </c>
      <c r="AD31" s="81">
        <f>(($Y31*'Truck Emissions'!E34)*'Truck Emissions'!$C$2)*'Truck Emissions'!Q$6*Discounting!$D35</f>
        <v>110487.41244308441</v>
      </c>
      <c r="AE31" s="81">
        <f>(($Y31*'Truck Emissions'!F34)*'Truck Emissions'!$C$2)*'Truck Emissions'!R$6*Discounting!$D35</f>
        <v>4697.6416141272857</v>
      </c>
      <c r="AF31" s="81">
        <f>(($Y31*'Truck Emissions'!G34)*'Truck Emissions'!$C$2)*'Truck Emissions'!S$6*Discounting!$D35</f>
        <v>61966.267071946102</v>
      </c>
      <c r="AG31" s="81">
        <f t="shared" si="1"/>
        <v>181725.316509614</v>
      </c>
      <c r="AH31" s="81">
        <f>AG31*Discounting!C35</f>
        <v>29245.121933675466</v>
      </c>
      <c r="AJ31" s="81">
        <f>$Y31*('Truck Crashes'!D$4/100000000)*'Truck Crashes'!G$4*Discounting!$D35</f>
        <v>923235.67058823456</v>
      </c>
      <c r="AK31" s="81">
        <f>$Y31*('Truck Crashes'!E$4/100000000)*'Truck Crashes'!H$4*Discounting!$D35</f>
        <v>408525.33705882321</v>
      </c>
      <c r="AL31" s="81">
        <f>$Y31*('Truck Crashes'!F$4/100000000)*'Truck Crashes'!I$4*Discounting!$D35</f>
        <v>27607.346911764682</v>
      </c>
      <c r="AM31" s="81">
        <f t="shared" si="2"/>
        <v>1359368.3545588225</v>
      </c>
      <c r="AN31" s="81">
        <f>AM31*Discounting!C35</f>
        <v>218763.64859570545</v>
      </c>
      <c r="AP31" s="81">
        <f>Y31*'Truck Pavement'!$C$4*Discounting!D35</f>
        <v>719806.57873380964</v>
      </c>
      <c r="AQ31" s="81">
        <f>AP31*Discounting!C35</f>
        <v>115838.73710088358</v>
      </c>
      <c r="AS31" s="18">
        <f t="shared" si="3"/>
        <v>1825058.7967230398</v>
      </c>
    </row>
    <row r="32" spans="2:45" x14ac:dyDescent="0.25">
      <c r="D32">
        <v>2044</v>
      </c>
      <c r="E32" s="20">
        <f>'VMT Build'!C36</f>
        <v>325000</v>
      </c>
      <c r="F32" s="20">
        <f t="shared" si="8"/>
        <v>125000</v>
      </c>
      <c r="G32" s="29">
        <f>IF(SUM(Discounting!$D$8:D35)&gt;5,(F32/$B$3)*($B$5*(1+$B$7)),F32/$B$3*$B$13)</f>
        <v>1121875</v>
      </c>
      <c r="H32" s="18">
        <f>IF(SUM(Discounting!$D$8:D35)&gt;5,G32*$B$9*Discounting!D35,'Truck Diversion Impacts'!F32*'Truck Diversion Impacts'!$B$11*Discounting!D35)</f>
        <v>1895968.75</v>
      </c>
      <c r="I32" s="18">
        <f>H32*Discounting!C35</f>
        <v>305118.94732759945</v>
      </c>
      <c r="K32" s="27"/>
      <c r="L32" s="27"/>
      <c r="T32">
        <v>2045</v>
      </c>
      <c r="U32" s="20">
        <f t="shared" si="6"/>
        <v>573529.4117647059</v>
      </c>
      <c r="V32" s="20">
        <f t="shared" si="7"/>
        <v>529411.76470588241</v>
      </c>
      <c r="W32" s="20">
        <f t="shared" si="4"/>
        <v>44117.647058823495</v>
      </c>
      <c r="X32">
        <v>121.78</v>
      </c>
      <c r="Y32" s="20">
        <f t="shared" si="9"/>
        <v>5372647.058823525</v>
      </c>
      <c r="Z32" s="18">
        <f>Y32*$B$9*Discounting!D36</f>
        <v>9079773.5294117574</v>
      </c>
      <c r="AA32" s="18">
        <f>Discounting!C36*Z32</f>
        <v>1365618.0271895099</v>
      </c>
      <c r="AC32" s="81">
        <f>(($Y32*'Truck Emissions'!D35)*'Truck Emissions'!$C$2)*'Truck Emissions'!P$6*Discounting!$D36</f>
        <v>4557.7178168247001</v>
      </c>
      <c r="AD32" s="81">
        <f>(($Y32*'Truck Emissions'!E35)*'Truck Emissions'!$C$2)*'Truck Emissions'!Q$6*Discounting!$D36</f>
        <v>109636.78223608034</v>
      </c>
      <c r="AE32" s="81">
        <f>(($Y32*'Truck Emissions'!F35)*'Truck Emissions'!$C$2)*'Truck Emissions'!R$6*Discounting!$D36</f>
        <v>4697.6416141272857</v>
      </c>
      <c r="AF32" s="81">
        <f>(($Y32*'Truck Emissions'!G35)*'Truck Emissions'!$C$2)*'Truck Emissions'!S$6*Discounting!$D36</f>
        <v>60751.242227398143</v>
      </c>
      <c r="AG32" s="81">
        <f t="shared" si="1"/>
        <v>179643.38389443047</v>
      </c>
      <c r="AH32" s="81">
        <f>AG32*Discounting!C36</f>
        <v>27018.762386186245</v>
      </c>
      <c r="AJ32" s="81">
        <f>$Y32*('Truck Crashes'!D$4/100000000)*'Truck Crashes'!G$4*Discounting!$D36</f>
        <v>923235.67058823456</v>
      </c>
      <c r="AK32" s="81">
        <f>$Y32*('Truck Crashes'!E$4/100000000)*'Truck Crashes'!H$4*Discounting!$D36</f>
        <v>408525.33705882321</v>
      </c>
      <c r="AL32" s="81">
        <f>$Y32*('Truck Crashes'!F$4/100000000)*'Truck Crashes'!I$4*Discounting!$D36</f>
        <v>27607.346911764682</v>
      </c>
      <c r="AM32" s="81">
        <f t="shared" si="2"/>
        <v>1359368.3545588225</v>
      </c>
      <c r="AN32" s="81">
        <f>AM32*Discounting!C36</f>
        <v>204452.00803336961</v>
      </c>
      <c r="AP32" s="81">
        <f>Y32*'Truck Pavement'!$C$4*Discounting!D36</f>
        <v>719806.57873380964</v>
      </c>
      <c r="AQ32" s="81">
        <f>AP32*Discounting!C36</f>
        <v>108260.5019634426</v>
      </c>
      <c r="AS32" s="18">
        <f t="shared" si="3"/>
        <v>1705349.2995725085</v>
      </c>
    </row>
    <row r="33" spans="4:45" x14ac:dyDescent="0.25">
      <c r="D33">
        <v>2045</v>
      </c>
      <c r="E33" s="20">
        <f>'VMT Build'!C37</f>
        <v>325000</v>
      </c>
      <c r="F33" s="20">
        <f t="shared" si="8"/>
        <v>125000</v>
      </c>
      <c r="G33" s="29">
        <f>IF(SUM(Discounting!$D$8:D36)&gt;5,(F33/$B$3)*($B$5*(1+$B$7)),F33/$B$3*$B$13)</f>
        <v>1121875</v>
      </c>
      <c r="H33" s="18">
        <f>IF(SUM(Discounting!$D$8:D36)&gt;5,G33*$B$9*Discounting!D36,'Truck Diversion Impacts'!F33*'Truck Diversion Impacts'!$B$11*Discounting!D36)</f>
        <v>1895968.75</v>
      </c>
      <c r="I33" s="18">
        <f>H33*Discounting!C36</f>
        <v>285157.89469869115</v>
      </c>
      <c r="K33" s="27"/>
      <c r="L33" s="27"/>
      <c r="T33">
        <v>2046</v>
      </c>
      <c r="U33" s="20">
        <f t="shared" si="6"/>
        <v>573529.4117647059</v>
      </c>
      <c r="V33" s="20">
        <f t="shared" si="7"/>
        <v>529411.76470588241</v>
      </c>
      <c r="W33" s="20">
        <f t="shared" si="4"/>
        <v>44117.647058823495</v>
      </c>
      <c r="X33">
        <v>121.78</v>
      </c>
      <c r="Y33" s="20">
        <f t="shared" si="9"/>
        <v>5372647.058823525</v>
      </c>
      <c r="Z33" s="18">
        <f>Y33*$B$9*Discounting!D37</f>
        <v>9079773.5294117574</v>
      </c>
      <c r="AA33" s="18">
        <f>Discounting!C37*Z33</f>
        <v>1276278.5300836542</v>
      </c>
      <c r="AC33" s="81">
        <f>(($Y33*'Truck Emissions'!D36)*'Truck Emissions'!$C$2)*'Truck Emissions'!P$6*Discounting!$D37</f>
        <v>4557.7178168247001</v>
      </c>
      <c r="AD33" s="81">
        <f>(($Y33*'Truck Emissions'!E36)*'Truck Emissions'!$C$2)*'Truck Emissions'!Q$6*Discounting!$D37</f>
        <v>109636.78223608034</v>
      </c>
      <c r="AE33" s="81">
        <f>(($Y33*'Truck Emissions'!F36)*'Truck Emissions'!$C$2)*'Truck Emissions'!R$6*Discounting!$D37</f>
        <v>4697.6416141272857</v>
      </c>
      <c r="AF33" s="81">
        <f>(($Y33*'Truck Emissions'!G36)*'Truck Emissions'!$C$2)*'Truck Emissions'!S$6*Discounting!$D37</f>
        <v>60751.242227398143</v>
      </c>
      <c r="AG33" s="81">
        <f t="shared" si="1"/>
        <v>179643.38389443047</v>
      </c>
      <c r="AH33" s="81">
        <f>AG33*Discounting!C37</f>
        <v>25251.179800174061</v>
      </c>
      <c r="AJ33" s="81">
        <f>$Y33*('Truck Crashes'!D$4/100000000)*'Truck Crashes'!G$4*Discounting!$D37</f>
        <v>923235.67058823456</v>
      </c>
      <c r="AK33" s="81">
        <f>$Y33*('Truck Crashes'!E$4/100000000)*'Truck Crashes'!H$4*Discounting!$D37</f>
        <v>408525.33705882321</v>
      </c>
      <c r="AL33" s="81">
        <f>$Y33*('Truck Crashes'!F$4/100000000)*'Truck Crashes'!I$4*Discounting!$D37</f>
        <v>27607.346911764682</v>
      </c>
      <c r="AM33" s="81">
        <f t="shared" si="2"/>
        <v>1359368.3545588225</v>
      </c>
      <c r="AN33" s="81">
        <f>AM33*Discounting!C37</f>
        <v>191076.64302184078</v>
      </c>
      <c r="AP33" s="81">
        <f>Y33*'Truck Pavement'!$C$4*Discounting!D37</f>
        <v>719806.57873380964</v>
      </c>
      <c r="AQ33" s="81">
        <f>AP33*Discounting!C37</f>
        <v>101178.03921817067</v>
      </c>
      <c r="AS33" s="18">
        <f t="shared" si="3"/>
        <v>1593784.3921238396</v>
      </c>
    </row>
    <row r="34" spans="4:45" x14ac:dyDescent="0.25">
      <c r="D34">
        <v>2046</v>
      </c>
      <c r="E34" s="20">
        <f>'VMT Build'!C38</f>
        <v>325000</v>
      </c>
      <c r="F34" s="20">
        <f t="shared" si="8"/>
        <v>125000</v>
      </c>
      <c r="G34" s="29">
        <f>IF(SUM(Discounting!$D$8:D37)&gt;5,(F34/$B$3)*($B$5*(1+$B$7)),F34/$B$3*$B$13)</f>
        <v>1121875</v>
      </c>
      <c r="H34" s="18">
        <f>IF(SUM(Discounting!$D$8:D37)&gt;5,G34*$B$9*Discounting!D37,'Truck Diversion Impacts'!F34*'Truck Diversion Impacts'!$B$11*Discounting!D37)</f>
        <v>1895968.75</v>
      </c>
      <c r="I34" s="18">
        <f>H34*Discounting!C37</f>
        <v>266502.70532587956</v>
      </c>
      <c r="K34" s="27"/>
      <c r="L34" s="27"/>
      <c r="T34">
        <v>2047</v>
      </c>
      <c r="U34" s="20">
        <f t="shared" si="6"/>
        <v>573529.4117647059</v>
      </c>
      <c r="V34" s="20">
        <f t="shared" si="7"/>
        <v>529411.76470588241</v>
      </c>
      <c r="W34" s="20">
        <f t="shared" si="4"/>
        <v>44117.647058823495</v>
      </c>
      <c r="X34">
        <v>121.78</v>
      </c>
      <c r="Y34" s="20">
        <f t="shared" si="9"/>
        <v>5372647.058823525</v>
      </c>
      <c r="Z34" s="18">
        <f>Y34*$B$9*Discounting!D38</f>
        <v>9079773.5294117574</v>
      </c>
      <c r="AA34" s="18">
        <f>Discounting!C38*Z34</f>
        <v>1192783.6729753779</v>
      </c>
      <c r="AC34" s="81">
        <f>(($Y34*'Truck Emissions'!D37)*'Truck Emissions'!$C$2)*'Truck Emissions'!P$6*Discounting!$D38</f>
        <v>4557.7178168247001</v>
      </c>
      <c r="AD34" s="81">
        <f>(($Y34*'Truck Emissions'!E37)*'Truck Emissions'!$C$2)*'Truck Emissions'!Q$6*Discounting!$D38</f>
        <v>109636.78223608034</v>
      </c>
      <c r="AE34" s="81">
        <f>(($Y34*'Truck Emissions'!F37)*'Truck Emissions'!$C$2)*'Truck Emissions'!R$6*Discounting!$D38</f>
        <v>4697.6416141272857</v>
      </c>
      <c r="AF34" s="81">
        <f>(($Y34*'Truck Emissions'!G37)*'Truck Emissions'!$C$2)*'Truck Emissions'!S$6*Discounting!$D38</f>
        <v>60751.242227398143</v>
      </c>
      <c r="AG34" s="81">
        <f t="shared" si="1"/>
        <v>179643.38389443047</v>
      </c>
      <c r="AH34" s="81">
        <f>AG34*Discounting!C38</f>
        <v>23599.233458106602</v>
      </c>
      <c r="AJ34" s="81">
        <f>$Y34*('Truck Crashes'!D$4/100000000)*'Truck Crashes'!G$4*Discounting!$D38</f>
        <v>923235.67058823456</v>
      </c>
      <c r="AK34" s="81">
        <f>$Y34*('Truck Crashes'!E$4/100000000)*'Truck Crashes'!H$4*Discounting!$D38</f>
        <v>408525.33705882321</v>
      </c>
      <c r="AL34" s="81">
        <f>$Y34*('Truck Crashes'!F$4/100000000)*'Truck Crashes'!I$4*Discounting!$D38</f>
        <v>27607.346911764682</v>
      </c>
      <c r="AM34" s="81">
        <f t="shared" si="2"/>
        <v>1359368.3545588225</v>
      </c>
      <c r="AN34" s="81">
        <f>AM34*Discounting!C38</f>
        <v>178576.30188957081</v>
      </c>
      <c r="AP34" s="81">
        <f>Y34*'Truck Pavement'!$C$4*Discounting!D38</f>
        <v>719806.57873380964</v>
      </c>
      <c r="AQ34" s="81">
        <f>AP34*Discounting!C38</f>
        <v>94558.915157168856</v>
      </c>
      <c r="AS34" s="18">
        <f t="shared" si="3"/>
        <v>1489518.1234802243</v>
      </c>
    </row>
    <row r="35" spans="4:45" x14ac:dyDescent="0.25">
      <c r="D35">
        <v>2047</v>
      </c>
      <c r="E35" s="20">
        <f>'VMT Build'!C39</f>
        <v>325000</v>
      </c>
      <c r="F35" s="20">
        <f t="shared" si="8"/>
        <v>125000</v>
      </c>
      <c r="G35" s="29">
        <f>IF(SUM(Discounting!$D$8:D38)&gt;5,(F35/$B$3)*($B$5*(1+$B$7)),F35/$B$3*$B$13)</f>
        <v>1121875</v>
      </c>
      <c r="H35" s="18">
        <f>IF(SUM(Discounting!$D$8:D38)&gt;5,G35*$B$9*Discounting!D38,'Truck Diversion Impacts'!F35*'Truck Diversion Impacts'!$B$11*Discounting!D38)</f>
        <v>1895968.75</v>
      </c>
      <c r="I35" s="18">
        <f>H35*Discounting!C38</f>
        <v>249067.94890269122</v>
      </c>
      <c r="K35" s="27"/>
      <c r="L35" s="27"/>
      <c r="T35">
        <v>2048</v>
      </c>
      <c r="U35" s="20">
        <f t="shared" si="6"/>
        <v>573529.4117647059</v>
      </c>
      <c r="V35" s="20">
        <f t="shared" si="7"/>
        <v>529411.76470588241</v>
      </c>
      <c r="W35" s="20">
        <f t="shared" si="4"/>
        <v>44117.647058823495</v>
      </c>
      <c r="X35">
        <v>121.78</v>
      </c>
      <c r="Y35" s="20">
        <f t="shared" si="9"/>
        <v>5372647.058823525</v>
      </c>
      <c r="Z35" s="18">
        <f>Y35*$B$9*Discounting!D39</f>
        <v>0</v>
      </c>
      <c r="AA35" s="18">
        <f>Discounting!C39*Z35</f>
        <v>0</v>
      </c>
      <c r="AC35" s="81">
        <f>(($Y35*'Truck Emissions'!D38)*'Truck Emissions'!$C$2)*'Truck Emissions'!P$6*Discounting!$D39</f>
        <v>0</v>
      </c>
      <c r="AD35" s="81">
        <f>(($Y35*'Truck Emissions'!E38)*'Truck Emissions'!$C$2)*'Truck Emissions'!Q$6*Discounting!$D39</f>
        <v>0</v>
      </c>
      <c r="AE35" s="81">
        <f>(($Y35*'Truck Emissions'!F38)*'Truck Emissions'!$C$2)*'Truck Emissions'!R$6*Discounting!$D39</f>
        <v>0</v>
      </c>
      <c r="AF35" s="81">
        <f>(($Y35*'Truck Emissions'!G38)*'Truck Emissions'!$C$2)*'Truck Emissions'!S$6*Discounting!$D39</f>
        <v>0</v>
      </c>
      <c r="AG35" s="81">
        <f t="shared" si="1"/>
        <v>0</v>
      </c>
      <c r="AH35" s="81">
        <f>AG35*Discounting!C39</f>
        <v>0</v>
      </c>
      <c r="AJ35" s="81">
        <f>$Y35*('Truck Crashes'!D$4/100000000)*'Truck Crashes'!G$4*Discounting!$D39</f>
        <v>0</v>
      </c>
      <c r="AK35" s="81">
        <f>$Y35*('Truck Crashes'!E$4/100000000)*'Truck Crashes'!H$4*Discounting!$D39</f>
        <v>0</v>
      </c>
      <c r="AL35" s="81">
        <f>$Y35*('Truck Crashes'!F$4/100000000)*'Truck Crashes'!I$4*Discounting!$D39</f>
        <v>0</v>
      </c>
      <c r="AM35" s="81">
        <f t="shared" si="2"/>
        <v>0</v>
      </c>
      <c r="AN35" s="81">
        <f>AM35*Discounting!C39</f>
        <v>0</v>
      </c>
      <c r="AP35" s="81">
        <f>Y35*'Truck Pavement'!$C$4*Discounting!D39</f>
        <v>0</v>
      </c>
      <c r="AQ35" s="81">
        <f>AP35*Discounting!C39</f>
        <v>0</v>
      </c>
      <c r="AS35" s="18">
        <f t="shared" si="3"/>
        <v>0</v>
      </c>
    </row>
    <row r="36" spans="4:45" x14ac:dyDescent="0.25">
      <c r="D36">
        <v>2048</v>
      </c>
      <c r="E36" s="20">
        <f>'VMT Build'!C40</f>
        <v>325000</v>
      </c>
      <c r="F36" s="20">
        <f t="shared" si="8"/>
        <v>125000</v>
      </c>
      <c r="G36" s="29">
        <f>IF(SUM(Discounting!$D$8:D39)&gt;5,(F36/$B$3)*($B$5*(1+$B$7)),F36/$B$3*$B$13)</f>
        <v>1121875</v>
      </c>
      <c r="H36" s="18">
        <f>IF(SUM(Discounting!$D$8:D39)&gt;5,G36*$B$9*Discounting!D39,'Truck Diversion Impacts'!F36*'Truck Diversion Impacts'!$B$11*Discounting!D39)</f>
        <v>0</v>
      </c>
      <c r="I36" s="18">
        <f>H36*Discounting!C39</f>
        <v>0</v>
      </c>
      <c r="T36">
        <v>2049</v>
      </c>
      <c r="U36" s="20">
        <f t="shared" si="6"/>
        <v>573529.4117647059</v>
      </c>
      <c r="V36" s="20">
        <f t="shared" si="7"/>
        <v>529411.76470588241</v>
      </c>
      <c r="W36" s="20">
        <f t="shared" si="4"/>
        <v>44117.647058823495</v>
      </c>
      <c r="X36">
        <v>121.78</v>
      </c>
      <c r="Y36" s="20">
        <f t="shared" si="9"/>
        <v>5372647.058823525</v>
      </c>
      <c r="Z36" s="18">
        <f>Y36*$B$9*Discounting!D40</f>
        <v>0</v>
      </c>
      <c r="AA36" s="18">
        <f>Discounting!C40*Z36</f>
        <v>0</v>
      </c>
      <c r="AC36" s="81">
        <f>(($Y36*'Truck Emissions'!D39)*'Truck Emissions'!$C$2)*'Truck Emissions'!P$6*Discounting!$D40</f>
        <v>0</v>
      </c>
      <c r="AD36" s="81">
        <f>(($Y36*'Truck Emissions'!E39)*'Truck Emissions'!$C$2)*'Truck Emissions'!Q$6*Discounting!$D40</f>
        <v>0</v>
      </c>
      <c r="AE36" s="81">
        <f>(($Y36*'Truck Emissions'!F39)*'Truck Emissions'!$C$2)*'Truck Emissions'!R$6*Discounting!$D40</f>
        <v>0</v>
      </c>
      <c r="AF36" s="81">
        <f>(($Y36*'Truck Emissions'!G39)*'Truck Emissions'!$C$2)*'Truck Emissions'!S$6*Discounting!$D40</f>
        <v>0</v>
      </c>
      <c r="AG36" s="81">
        <f t="shared" si="1"/>
        <v>0</v>
      </c>
      <c r="AH36" s="81">
        <f>AG36*Discounting!C40</f>
        <v>0</v>
      </c>
      <c r="AJ36" s="81">
        <f>$Y36*('Truck Crashes'!D$4/100000000)*'Truck Crashes'!G$4*Discounting!$D40</f>
        <v>0</v>
      </c>
      <c r="AK36" s="81">
        <f>$Y36*('Truck Crashes'!E$4/100000000)*'Truck Crashes'!H$4*Discounting!$D40</f>
        <v>0</v>
      </c>
      <c r="AL36" s="81">
        <f>$Y36*('Truck Crashes'!F$4/100000000)*'Truck Crashes'!I$4*Discounting!$D40</f>
        <v>0</v>
      </c>
      <c r="AM36" s="81">
        <f t="shared" si="2"/>
        <v>0</v>
      </c>
      <c r="AN36" s="81">
        <f>AM36*Discounting!C40</f>
        <v>0</v>
      </c>
      <c r="AP36" s="81">
        <f>Y36*'Truck Pavement'!$C$4*Discounting!D40</f>
        <v>0</v>
      </c>
      <c r="AQ36" s="81">
        <f>AP36*Discounting!C40</f>
        <v>0</v>
      </c>
      <c r="AS36" s="18">
        <f t="shared" si="3"/>
        <v>0</v>
      </c>
    </row>
    <row r="37" spans="4:45" x14ac:dyDescent="0.25">
      <c r="D37">
        <v>2049</v>
      </c>
      <c r="E37" s="20">
        <f>'VMT Build'!C41</f>
        <v>325000</v>
      </c>
      <c r="F37" s="20">
        <f t="shared" si="8"/>
        <v>125000</v>
      </c>
      <c r="G37" s="29">
        <f>IF(SUM(Discounting!$D$8:D40)&gt;5,(F37/$B$3)*($B$5*(1+$B$7)),F37/$B$3*$B$13)</f>
        <v>1121875</v>
      </c>
      <c r="H37" s="18">
        <f>IF(SUM(Discounting!$D$8:D40)&gt;5,G37*$B$9*Discounting!D40,'Truck Diversion Impacts'!F37*'Truck Diversion Impacts'!$B$11*Discounting!D40)</f>
        <v>0</v>
      </c>
      <c r="I37" s="18">
        <f>H37*Discounting!C40</f>
        <v>0</v>
      </c>
      <c r="T37">
        <v>2050</v>
      </c>
      <c r="U37" s="20">
        <f t="shared" si="6"/>
        <v>573529.4117647059</v>
      </c>
      <c r="V37" s="20">
        <f t="shared" si="7"/>
        <v>529411.76470588241</v>
      </c>
      <c r="W37" s="20">
        <f t="shared" si="4"/>
        <v>44117.647058823495</v>
      </c>
      <c r="X37">
        <v>121.78</v>
      </c>
      <c r="Y37" s="20">
        <f t="shared" si="9"/>
        <v>5372647.058823525</v>
      </c>
      <c r="Z37" s="18">
        <f>Y37*$B$9*Discounting!D41</f>
        <v>0</v>
      </c>
      <c r="AA37" s="18">
        <f>Discounting!C41*Z37</f>
        <v>0</v>
      </c>
      <c r="AC37" s="81">
        <f>(($Y37*'Truck Emissions'!D40)*'Truck Emissions'!$C$2)*'Truck Emissions'!P$6*Discounting!$D41</f>
        <v>0</v>
      </c>
      <c r="AD37" s="81">
        <f>(($Y37*'Truck Emissions'!E40)*'Truck Emissions'!$C$2)*'Truck Emissions'!Q$6*Discounting!$D41</f>
        <v>0</v>
      </c>
      <c r="AE37" s="81">
        <f>(($Y37*'Truck Emissions'!F40)*'Truck Emissions'!$C$2)*'Truck Emissions'!R$6*Discounting!$D41</f>
        <v>0</v>
      </c>
      <c r="AF37" s="81">
        <f>(($Y37*'Truck Emissions'!G40)*'Truck Emissions'!$C$2)*'Truck Emissions'!S$6*Discounting!$D41</f>
        <v>0</v>
      </c>
      <c r="AG37" s="81">
        <f t="shared" si="1"/>
        <v>0</v>
      </c>
      <c r="AH37" s="81">
        <f>AG37*Discounting!C41</f>
        <v>0</v>
      </c>
      <c r="AJ37" s="81">
        <f>$Y37*('Truck Crashes'!D$4/100000000)*'Truck Crashes'!G$4*Discounting!$D41</f>
        <v>0</v>
      </c>
      <c r="AK37" s="81">
        <f>$Y37*('Truck Crashes'!E$4/100000000)*'Truck Crashes'!H$4*Discounting!$D41</f>
        <v>0</v>
      </c>
      <c r="AL37" s="81">
        <f>$Y37*('Truck Crashes'!F$4/100000000)*'Truck Crashes'!I$4*Discounting!$D41</f>
        <v>0</v>
      </c>
      <c r="AM37" s="81">
        <f t="shared" si="2"/>
        <v>0</v>
      </c>
      <c r="AN37" s="81">
        <f>AM37*Discounting!C41</f>
        <v>0</v>
      </c>
      <c r="AP37" s="81">
        <f>Y37*'Truck Pavement'!$C$4*Discounting!D41</f>
        <v>0</v>
      </c>
      <c r="AQ37" s="81">
        <f>AP37*Discounting!C41</f>
        <v>0</v>
      </c>
      <c r="AS37" s="18">
        <f t="shared" si="3"/>
        <v>0</v>
      </c>
    </row>
    <row r="38" spans="4:45" x14ac:dyDescent="0.25">
      <c r="D38">
        <v>2050</v>
      </c>
      <c r="E38" s="20">
        <f>'VMT Build'!C42</f>
        <v>325000</v>
      </c>
      <c r="F38" s="20">
        <f t="shared" si="8"/>
        <v>125000</v>
      </c>
      <c r="G38" s="29">
        <f>IF(SUM(Discounting!$D$8:D41)&gt;5,(F38/$B$3)*($B$5*(1+$B$7)),F38/$B$3*$B$13)</f>
        <v>1121875</v>
      </c>
      <c r="H38" s="18">
        <f>IF(SUM(Discounting!$D$8:D41)&gt;5,G38*$B$9*Discounting!D41,'Truck Diversion Impacts'!F38*'Truck Diversion Impacts'!$B$11*Discounting!D41)</f>
        <v>0</v>
      </c>
      <c r="I38" s="18">
        <f>H38*Discounting!C41</f>
        <v>0</v>
      </c>
      <c r="T38">
        <v>2051</v>
      </c>
      <c r="U38" s="20">
        <f t="shared" si="6"/>
        <v>573529.4117647059</v>
      </c>
      <c r="V38" s="20">
        <f t="shared" si="7"/>
        <v>529411.76470588241</v>
      </c>
      <c r="W38" s="20">
        <f t="shared" si="4"/>
        <v>44117.647058823495</v>
      </c>
      <c r="X38">
        <v>121.78</v>
      </c>
      <c r="Y38" s="20">
        <f t="shared" si="9"/>
        <v>5372647.058823525</v>
      </c>
      <c r="Z38" s="18">
        <f>Y38*$B$9*Discounting!D42</f>
        <v>0</v>
      </c>
      <c r="AA38" s="18">
        <f>Discounting!C42*Z38</f>
        <v>0</v>
      </c>
      <c r="AC38" s="81">
        <f>(($Y38*'Truck Emissions'!D41)*'Truck Emissions'!$C$2)*'Truck Emissions'!P$6*Discounting!$D42</f>
        <v>0</v>
      </c>
      <c r="AD38" s="81">
        <f>(($Y38*'Truck Emissions'!E41)*'Truck Emissions'!$C$2)*'Truck Emissions'!Q$6*Discounting!$D42</f>
        <v>0</v>
      </c>
      <c r="AE38" s="81">
        <f>(($Y38*'Truck Emissions'!F41)*'Truck Emissions'!$C$2)*'Truck Emissions'!R$6*Discounting!$D42</f>
        <v>0</v>
      </c>
      <c r="AF38" s="81">
        <f>(($Y38*'Truck Emissions'!G41)*'Truck Emissions'!$C$2)*'Truck Emissions'!S$6*Discounting!$D42</f>
        <v>0</v>
      </c>
      <c r="AG38" s="81">
        <f t="shared" si="1"/>
        <v>0</v>
      </c>
      <c r="AH38" s="81">
        <f>AG38*Discounting!C42</f>
        <v>0</v>
      </c>
      <c r="AJ38" s="81">
        <f>$Y38*('Truck Crashes'!D$4/100000000)*'Truck Crashes'!G$4*Discounting!$D42</f>
        <v>0</v>
      </c>
      <c r="AK38" s="81">
        <f>$Y38*('Truck Crashes'!E$4/100000000)*'Truck Crashes'!H$4*Discounting!$D42</f>
        <v>0</v>
      </c>
      <c r="AL38" s="81">
        <f>$Y38*('Truck Crashes'!F$4/100000000)*'Truck Crashes'!I$4*Discounting!$D42</f>
        <v>0</v>
      </c>
      <c r="AM38" s="81">
        <f t="shared" si="2"/>
        <v>0</v>
      </c>
      <c r="AN38" s="81">
        <f>AM38*Discounting!C42</f>
        <v>0</v>
      </c>
      <c r="AP38" s="81">
        <f>Y38*'Truck Pavement'!$C$4*Discounting!D42</f>
        <v>0</v>
      </c>
      <c r="AQ38" s="81">
        <f>AP38*Discounting!C42</f>
        <v>0</v>
      </c>
      <c r="AS38" s="18">
        <f t="shared" si="3"/>
        <v>0</v>
      </c>
    </row>
    <row r="39" spans="4:45" x14ac:dyDescent="0.25">
      <c r="D39">
        <v>2051</v>
      </c>
      <c r="E39" s="20">
        <f>'VMT Build'!C43</f>
        <v>325000</v>
      </c>
      <c r="F39" s="20">
        <f t="shared" si="8"/>
        <v>125000</v>
      </c>
      <c r="G39" s="29">
        <f>IF(SUM(Discounting!$D$8:D42)&gt;5,(F39/$B$3)*($B$5*(1+$B$7)),F39/$B$3*$B$13)</f>
        <v>1121875</v>
      </c>
      <c r="H39" s="18">
        <f>IF(SUM(Discounting!$D$8:D42)&gt;5,G39*$B$9*Discounting!D42,'Truck Diversion Impacts'!F39*'Truck Diversion Impacts'!$B$11*Discounting!D42)</f>
        <v>0</v>
      </c>
      <c r="I39" s="18">
        <f>H39*Discounting!C42</f>
        <v>0</v>
      </c>
      <c r="AS39" s="18">
        <f>SUM(AS4:AS38)</f>
        <v>66826639.457377478</v>
      </c>
    </row>
    <row r="40" spans="4:45" x14ac:dyDescent="0.25">
      <c r="G40" s="29">
        <f>SUM(G12:G35)</f>
        <v>26081082.72366979</v>
      </c>
      <c r="H40" s="18">
        <f>SUM(H5:H39)</f>
        <v>44077029.803001948</v>
      </c>
      <c r="I40" s="18">
        <f>SUM(I5:I39)</f>
        <v>13684494.573633067</v>
      </c>
      <c r="L40" s="27"/>
      <c r="Y40" s="20"/>
      <c r="Z40" s="18"/>
      <c r="AA40" s="18"/>
      <c r="AC40" s="90"/>
      <c r="AD40" s="90"/>
      <c r="AE40" s="90"/>
      <c r="AF40" s="90"/>
      <c r="AG40" s="71"/>
      <c r="AJ40" s="320"/>
      <c r="AK40" s="320"/>
      <c r="AL40" s="320"/>
    </row>
    <row r="41" spans="4:45" x14ac:dyDescent="0.25">
      <c r="G41" s="29"/>
      <c r="H41" s="18"/>
    </row>
    <row r="42" spans="4:45" x14ac:dyDescent="0.25">
      <c r="I42" s="18"/>
      <c r="AC42" s="81"/>
      <c r="AD42" s="81"/>
      <c r="AE42" s="81"/>
      <c r="AF42" s="81"/>
      <c r="AJ42" s="81"/>
    </row>
    <row r="43" spans="4:45" x14ac:dyDescent="0.25">
      <c r="AC43" s="81"/>
      <c r="AD43" s="81"/>
      <c r="AE43" s="81"/>
      <c r="AF43" s="81"/>
    </row>
  </sheetData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8"/>
  <sheetViews>
    <sheetView topLeftCell="K1" workbookViewId="0">
      <pane ySplit="6" topLeftCell="A7" activePane="bottomLeft" state="frozen"/>
      <selection pane="bottomLeft" activeCell="AH12" sqref="AH12:AH16"/>
    </sheetView>
  </sheetViews>
  <sheetFormatPr defaultRowHeight="15" x14ac:dyDescent="0.25"/>
  <cols>
    <col min="3" max="3" width="9.85546875" bestFit="1" customWidth="1"/>
    <col min="8" max="8" width="11" customWidth="1"/>
    <col min="10" max="10" width="11.42578125" customWidth="1"/>
    <col min="11" max="11" width="14" customWidth="1"/>
    <col min="13" max="13" width="11" customWidth="1"/>
    <col min="14" max="14" width="16.42578125" customWidth="1"/>
    <col min="16" max="16" width="9.140625" customWidth="1"/>
    <col min="17" max="17" width="11" customWidth="1"/>
    <col min="19" max="19" width="10.140625" customWidth="1"/>
    <col min="20" max="20" width="10.85546875" customWidth="1"/>
    <col min="21" max="21" width="14.28515625" customWidth="1"/>
    <col min="22" max="22" width="11.42578125" customWidth="1"/>
    <col min="23" max="23" width="16.5703125" customWidth="1"/>
    <col min="24" max="24" width="9.140625" customWidth="1"/>
    <col min="31" max="31" width="12.42578125" customWidth="1"/>
    <col min="34" max="34" width="11.140625" customWidth="1"/>
  </cols>
  <sheetData>
    <row r="2" spans="2:34" ht="13.5" customHeight="1" x14ac:dyDescent="0.25">
      <c r="B2" s="47" t="s">
        <v>50</v>
      </c>
      <c r="C2" s="48">
        <f>10^-6</f>
        <v>9.9999999999999995E-7</v>
      </c>
    </row>
    <row r="3" spans="2:34" ht="15.75" thickBot="1" x14ac:dyDescent="0.3"/>
    <row r="4" spans="2:34" ht="93" customHeight="1" x14ac:dyDescent="0.25">
      <c r="D4" s="330" t="s">
        <v>44</v>
      </c>
      <c r="E4" s="331"/>
      <c r="F4" s="331"/>
      <c r="G4" s="331"/>
      <c r="H4" s="332"/>
      <c r="I4" s="32"/>
      <c r="J4" s="330" t="s">
        <v>45</v>
      </c>
      <c r="K4" s="331"/>
      <c r="L4" s="331"/>
      <c r="M4" s="331"/>
      <c r="N4" s="332"/>
      <c r="O4" s="32"/>
      <c r="P4" s="333" t="s">
        <v>254</v>
      </c>
      <c r="Q4" s="334"/>
      <c r="R4" s="334"/>
      <c r="S4" s="335"/>
      <c r="T4" s="33" t="s">
        <v>46</v>
      </c>
      <c r="U4" s="322" t="s">
        <v>93</v>
      </c>
      <c r="V4" s="323"/>
      <c r="W4" s="324"/>
    </row>
    <row r="5" spans="2:34" ht="18" x14ac:dyDescent="0.35">
      <c r="D5" s="328" t="s">
        <v>31</v>
      </c>
      <c r="E5" s="328" t="s">
        <v>47</v>
      </c>
      <c r="F5" s="328" t="s">
        <v>48</v>
      </c>
      <c r="G5" s="328" t="s">
        <v>32</v>
      </c>
      <c r="H5" s="328" t="s">
        <v>49</v>
      </c>
      <c r="I5" s="328"/>
      <c r="J5" s="328" t="s">
        <v>31</v>
      </c>
      <c r="K5" s="328" t="s">
        <v>47</v>
      </c>
      <c r="L5" s="328" t="s">
        <v>48</v>
      </c>
      <c r="M5" s="328" t="s">
        <v>32</v>
      </c>
      <c r="N5" s="328" t="s">
        <v>49</v>
      </c>
      <c r="O5" s="34"/>
      <c r="P5" s="35" t="s">
        <v>31</v>
      </c>
      <c r="Q5" s="36" t="s">
        <v>47</v>
      </c>
      <c r="R5" s="36" t="s">
        <v>48</v>
      </c>
      <c r="S5" s="36" t="s">
        <v>32</v>
      </c>
      <c r="T5" s="37" t="s">
        <v>92</v>
      </c>
      <c r="U5" s="325"/>
      <c r="V5" s="326"/>
      <c r="W5" s="327"/>
    </row>
    <row r="6" spans="2:34" x14ac:dyDescent="0.25">
      <c r="B6" t="s">
        <v>33</v>
      </c>
      <c r="C6" t="s">
        <v>42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8"/>
      <c r="P6" s="39">
        <f>InpC!D12</f>
        <v>2203</v>
      </c>
      <c r="Q6" s="39">
        <f>InpC!D9</f>
        <v>9142.4500000000007</v>
      </c>
      <c r="R6" s="39">
        <f>InpC!D11</f>
        <v>53863.35</v>
      </c>
      <c r="S6" s="39">
        <f>InpC!D10</f>
        <v>416146.7</v>
      </c>
      <c r="T6" s="37"/>
      <c r="U6" s="37" t="s">
        <v>10</v>
      </c>
      <c r="V6" s="40">
        <v>0.03</v>
      </c>
      <c r="W6" s="41">
        <v>7.0000000000000007E-2</v>
      </c>
    </row>
    <row r="7" spans="2:34" x14ac:dyDescent="0.25">
      <c r="B7">
        <f>'Truck Diversion Impacts'!D5</f>
        <v>2017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7"/>
      <c r="Q7" s="77"/>
      <c r="R7" s="77"/>
      <c r="S7" s="77"/>
      <c r="T7" s="78"/>
      <c r="U7" s="78"/>
      <c r="V7" s="79"/>
      <c r="W7" s="80"/>
    </row>
    <row r="8" spans="2:34" x14ac:dyDescent="0.25">
      <c r="B8">
        <f>'Truck Diversion Impacts'!D6</f>
        <v>2018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77"/>
      <c r="Q8" s="77"/>
      <c r="R8" s="77"/>
      <c r="S8" s="77"/>
      <c r="T8" s="78"/>
      <c r="U8" s="78"/>
      <c r="V8" s="79"/>
      <c r="W8" s="80"/>
    </row>
    <row r="9" spans="2:34" x14ac:dyDescent="0.25">
      <c r="B9">
        <f>'Truck Diversion Impacts'!D7</f>
        <v>2019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77"/>
      <c r="Q9" s="77"/>
      <c r="R9" s="77"/>
      <c r="S9" s="77"/>
      <c r="T9" s="78"/>
      <c r="U9" s="78"/>
      <c r="V9" s="79"/>
      <c r="W9" s="80"/>
    </row>
    <row r="10" spans="2:34" x14ac:dyDescent="0.25">
      <c r="B10">
        <f>'Truck Diversion Impacts'!D8</f>
        <v>2020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7"/>
      <c r="Q10" s="77"/>
      <c r="R10" s="77"/>
      <c r="S10" s="77"/>
      <c r="T10" s="78"/>
      <c r="U10" s="78"/>
      <c r="V10" s="79"/>
      <c r="W10" s="80"/>
    </row>
    <row r="11" spans="2:34" x14ac:dyDescent="0.25">
      <c r="B11">
        <f>'Truck Diversion Impacts'!D9</f>
        <v>2021</v>
      </c>
      <c r="C11" s="29">
        <f>'Truck Diversion Impacts'!G9</f>
        <v>0</v>
      </c>
      <c r="D11" s="42">
        <v>0.6774</v>
      </c>
      <c r="E11" s="42">
        <v>5.7059999999999995</v>
      </c>
      <c r="F11" s="42">
        <v>1.6380245645483599E-2</v>
      </c>
      <c r="G11" s="42">
        <v>0.192</v>
      </c>
      <c r="H11" s="42">
        <v>1566.55830785388</v>
      </c>
      <c r="I11" s="42"/>
      <c r="J11" s="43">
        <f t="shared" ref="J11:N35" si="0">$C11*D11</f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/>
      <c r="P11" s="44">
        <f>J11*$C$2*P$6*Discounting!D12</f>
        <v>0</v>
      </c>
      <c r="Q11" s="44">
        <f>K11*$C$2*Q$6*Discounting!D12</f>
        <v>0</v>
      </c>
      <c r="R11" s="44">
        <f>L11*$C$2*R$6*Discounting!D12</f>
        <v>0</v>
      </c>
      <c r="S11" s="44">
        <f>M11*$C$2*S$6*Discounting!D12</f>
        <v>0</v>
      </c>
      <c r="T11" s="45">
        <f t="shared" ref="T11:T35" si="1">SUM(P11:S11)</f>
        <v>0</v>
      </c>
      <c r="U11" s="45">
        <f>T11</f>
        <v>0</v>
      </c>
      <c r="V11" s="45">
        <f t="shared" ref="V11:V41" si="2">$U11/(1+V$6)^(B11-2017)</f>
        <v>0</v>
      </c>
      <c r="W11" s="46">
        <f>$U11*Discounting!C12</f>
        <v>0</v>
      </c>
    </row>
    <row r="12" spans="2:34" x14ac:dyDescent="0.25">
      <c r="B12">
        <f>'Truck Diversion Impacts'!D10</f>
        <v>2022</v>
      </c>
      <c r="C12" s="29">
        <f>'Truck Diversion Impacts'!G10</f>
        <v>0</v>
      </c>
      <c r="D12" s="42">
        <v>0.64280000000000004</v>
      </c>
      <c r="E12" s="42">
        <v>5.2819999999999991</v>
      </c>
      <c r="F12" s="42">
        <v>1.6346929454939499E-2</v>
      </c>
      <c r="G12" s="42">
        <v>0.17200000000000001</v>
      </c>
      <c r="H12" s="42">
        <v>1552.6361457969699</v>
      </c>
      <c r="I12" s="42"/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/>
      <c r="P12" s="44">
        <f>J12*$C$2*P$6*Discounting!D13</f>
        <v>0</v>
      </c>
      <c r="Q12" s="44">
        <f>K12*$C$2*Q$6*Discounting!D13</f>
        <v>0</v>
      </c>
      <c r="R12" s="44">
        <f>L12*$C$2*R$6*Discounting!D13</f>
        <v>0</v>
      </c>
      <c r="S12" s="44">
        <f>M12*$C$2*S$6*Discounting!D13</f>
        <v>0</v>
      </c>
      <c r="T12" s="45">
        <f t="shared" si="1"/>
        <v>0</v>
      </c>
      <c r="U12" s="45">
        <f t="shared" ref="U12:U41" si="3">T12</f>
        <v>0</v>
      </c>
      <c r="V12" s="45">
        <f t="shared" si="2"/>
        <v>0</v>
      </c>
      <c r="W12" s="46">
        <f>$U12*Discounting!C13</f>
        <v>0</v>
      </c>
      <c r="Y12" s="81"/>
      <c r="Z12" s="81"/>
      <c r="AA12" s="81"/>
      <c r="AB12" s="81"/>
      <c r="AC12" s="18"/>
      <c r="AF12" s="81"/>
      <c r="AH12" s="31"/>
    </row>
    <row r="13" spans="2:34" x14ac:dyDescent="0.25">
      <c r="B13">
        <f>'Truck Diversion Impacts'!D11</f>
        <v>2023</v>
      </c>
      <c r="C13" s="29">
        <f>'Truck Diversion Impacts'!G11</f>
        <v>254286.98742331544</v>
      </c>
      <c r="D13" s="42">
        <v>0.60820000000000007</v>
      </c>
      <c r="E13" s="42">
        <v>4.8579999999999988</v>
      </c>
      <c r="F13" s="42">
        <v>1.6326015819858201E-2</v>
      </c>
      <c r="G13" s="42">
        <v>0.15200000000000002</v>
      </c>
      <c r="H13" s="42">
        <v>1539.32787832956</v>
      </c>
      <c r="I13" s="42"/>
      <c r="J13" s="43">
        <f t="shared" si="0"/>
        <v>154657.34575086046</v>
      </c>
      <c r="K13" s="43">
        <f t="shared" si="0"/>
        <v>1235326.1849024661</v>
      </c>
      <c r="L13" s="43">
        <f t="shared" si="0"/>
        <v>4151.4933794571316</v>
      </c>
      <c r="M13" s="43">
        <f t="shared" si="0"/>
        <v>38651.622088343953</v>
      </c>
      <c r="N13" s="43">
        <f t="shared" si="0"/>
        <v>391431048.83714765</v>
      </c>
      <c r="O13" s="43"/>
      <c r="P13" s="44">
        <f>J13*$C$2*P$6*Discounting!D14</f>
        <v>0</v>
      </c>
      <c r="Q13" s="44">
        <f>K13*$C$2*Q$6*Discounting!D14</f>
        <v>0</v>
      </c>
      <c r="R13" s="44">
        <f>L13*$C$2*R$6*Discounting!D14</f>
        <v>0</v>
      </c>
      <c r="S13" s="44">
        <f>M13*$C$2*S$6*Discounting!D14</f>
        <v>0</v>
      </c>
      <c r="T13" s="45">
        <f t="shared" si="1"/>
        <v>0</v>
      </c>
      <c r="U13" s="45">
        <f t="shared" si="3"/>
        <v>0</v>
      </c>
      <c r="V13" s="45">
        <f t="shared" si="2"/>
        <v>0</v>
      </c>
      <c r="W13" s="46">
        <f>$U13*Discounting!C14</f>
        <v>0</v>
      </c>
      <c r="Y13" s="81"/>
      <c r="Z13" s="81"/>
      <c r="AA13" s="81"/>
      <c r="AB13" s="81"/>
      <c r="AC13" s="18"/>
      <c r="AF13" s="81"/>
      <c r="AH13" s="31"/>
    </row>
    <row r="14" spans="2:34" x14ac:dyDescent="0.25">
      <c r="B14">
        <f>'Truck Diversion Impacts'!D12</f>
        <v>2024</v>
      </c>
      <c r="C14" s="29">
        <f>'Truck Diversion Impacts'!G12</f>
        <v>521288.32421779667</v>
      </c>
      <c r="D14" s="42">
        <v>0.57360000000000011</v>
      </c>
      <c r="E14" s="42">
        <v>4.4339999999999984</v>
      </c>
      <c r="F14" s="42">
        <v>1.6305901681307501E-2</v>
      </c>
      <c r="G14" s="42">
        <v>0.13200000000000003</v>
      </c>
      <c r="H14" s="42">
        <v>1526.6160131162801</v>
      </c>
      <c r="I14" s="42"/>
      <c r="J14" s="43">
        <f t="shared" si="0"/>
        <v>299010.98277132824</v>
      </c>
      <c r="K14" s="43">
        <f t="shared" si="0"/>
        <v>2311392.4295817097</v>
      </c>
      <c r="L14" s="43">
        <f t="shared" si="0"/>
        <v>8500.0761623089402</v>
      </c>
      <c r="M14" s="43">
        <f t="shared" si="0"/>
        <v>68810.058796749174</v>
      </c>
      <c r="N14" s="43">
        <f t="shared" si="0"/>
        <v>795807103.20143962</v>
      </c>
      <c r="O14" s="43"/>
      <c r="P14" s="44">
        <f>J14*$C$2*P$6*Discounting!D15</f>
        <v>658.72119504523607</v>
      </c>
      <c r="Q14" s="44">
        <f>K14*$C$2*Q$6*Discounting!D15</f>
        <v>21131.789717829302</v>
      </c>
      <c r="R14" s="44">
        <f>L14*$C$2*R$6*Discounting!D15</f>
        <v>457.84257735710321</v>
      </c>
      <c r="S14" s="44">
        <f>M14*$C$2*S$6*Discounting!D15</f>
        <v>28635.07889507314</v>
      </c>
      <c r="T14" s="45">
        <f t="shared" si="1"/>
        <v>50883.432385304783</v>
      </c>
      <c r="U14" s="45">
        <f t="shared" si="3"/>
        <v>50883.432385304783</v>
      </c>
      <c r="V14" s="45">
        <f t="shared" si="2"/>
        <v>41372.886940504817</v>
      </c>
      <c r="W14" s="46">
        <f>$U14*Discounting!C15</f>
        <v>31687.644384150597</v>
      </c>
      <c r="Y14" s="81"/>
      <c r="Z14" s="81"/>
      <c r="AA14" s="81"/>
      <c r="AB14" s="81"/>
      <c r="AC14" s="18"/>
      <c r="AF14" s="81"/>
      <c r="AH14" s="31"/>
    </row>
    <row r="15" spans="2:34" x14ac:dyDescent="0.25">
      <c r="B15">
        <f>'Truck Diversion Impacts'!D13</f>
        <v>2025</v>
      </c>
      <c r="C15" s="29">
        <f>'Truck Diversion Impacts'!G13</f>
        <v>801639.7278520019</v>
      </c>
      <c r="D15" s="42">
        <v>0.53900000000000003</v>
      </c>
      <c r="E15" s="42">
        <v>4.01</v>
      </c>
      <c r="F15" s="42">
        <v>1.6287542620699001E-2</v>
      </c>
      <c r="G15" s="42">
        <v>0.112</v>
      </c>
      <c r="H15" s="42">
        <v>1514.49565289012</v>
      </c>
      <c r="I15" s="42"/>
      <c r="J15" s="43">
        <f t="shared" si="0"/>
        <v>432083.81331222906</v>
      </c>
      <c r="K15" s="43">
        <f t="shared" si="0"/>
        <v>3214575.3086865274</v>
      </c>
      <c r="L15" s="43">
        <f t="shared" si="0"/>
        <v>13056.74123383503</v>
      </c>
      <c r="M15" s="43">
        <f t="shared" si="0"/>
        <v>89783.649519424216</v>
      </c>
      <c r="N15" s="43">
        <f t="shared" si="0"/>
        <v>1214079883.0158758</v>
      </c>
      <c r="O15" s="43"/>
      <c r="P15" s="44">
        <f>J15*$C$2*P$6*Discounting!D16</f>
        <v>951.88064072684062</v>
      </c>
      <c r="Q15" s="44">
        <f>K15*$C$2*Q$6*Discounting!D16</f>
        <v>29389.094030901146</v>
      </c>
      <c r="R15" s="44">
        <f>L15*$C$2*R$6*Discounting!D16</f>
        <v>703.27982293748801</v>
      </c>
      <c r="S15" s="44">
        <f>M15*$C$2*S$6*Discounting!D16</f>
        <v>37363.169461464968</v>
      </c>
      <c r="T15" s="45">
        <f t="shared" si="1"/>
        <v>68407.423956030441</v>
      </c>
      <c r="U15" s="45">
        <f t="shared" si="3"/>
        <v>68407.423956030441</v>
      </c>
      <c r="V15" s="45">
        <f t="shared" si="2"/>
        <v>54001.452166518779</v>
      </c>
      <c r="W15" s="46">
        <f>$U15*Discounting!C16</f>
        <v>39813.743562250231</v>
      </c>
      <c r="Y15" s="81"/>
      <c r="Z15" s="81"/>
      <c r="AA15" s="81"/>
      <c r="AB15" s="81"/>
      <c r="AC15" s="18"/>
      <c r="AF15" s="81"/>
      <c r="AH15" s="31"/>
    </row>
    <row r="16" spans="2:34" x14ac:dyDescent="0.25">
      <c r="B16">
        <f>'Truck Diversion Impacts'!D14</f>
        <v>2026</v>
      </c>
      <c r="C16" s="29">
        <f>'Truck Diversion Impacts'!G14</f>
        <v>1096008.7016679174</v>
      </c>
      <c r="D16" s="42">
        <v>0.51919999999999999</v>
      </c>
      <c r="E16" s="42">
        <v>3.778</v>
      </c>
      <c r="F16" s="42">
        <v>1.6223998921714299E-2</v>
      </c>
      <c r="G16" s="42">
        <v>0.10059999999999999</v>
      </c>
      <c r="H16" s="42">
        <v>1502.4171351652799</v>
      </c>
      <c r="I16" s="42"/>
      <c r="J16" s="43">
        <f t="shared" si="0"/>
        <v>569047.71790598275</v>
      </c>
      <c r="K16" s="43">
        <f t="shared" si="0"/>
        <v>4140720.874901392</v>
      </c>
      <c r="L16" s="43">
        <f t="shared" si="0"/>
        <v>17781.64399404978</v>
      </c>
      <c r="M16" s="43">
        <f t="shared" si="0"/>
        <v>110258.47538779248</v>
      </c>
      <c r="N16" s="43">
        <f t="shared" si="0"/>
        <v>1646662253.6761305</v>
      </c>
      <c r="O16" s="43"/>
      <c r="P16" s="44">
        <f>J16*$C$2*P$6*Discounting!D17</f>
        <v>1253.6121225468801</v>
      </c>
      <c r="Q16" s="44">
        <f>K16*$C$2*Q$6*Discounting!D17</f>
        <v>37856.333562742235</v>
      </c>
      <c r="R16" s="44">
        <f>L16*$C$2*R$6*Discounting!D17</f>
        <v>957.77891402690113</v>
      </c>
      <c r="S16" s="44">
        <f>M16*$C$2*S$6*Discounting!D17</f>
        <v>45883.700679661059</v>
      </c>
      <c r="T16" s="45">
        <f t="shared" si="1"/>
        <v>85951.425278977084</v>
      </c>
      <c r="U16" s="45">
        <f t="shared" si="3"/>
        <v>85951.425278977084</v>
      </c>
      <c r="V16" s="45">
        <f t="shared" si="2"/>
        <v>65874.610502591036</v>
      </c>
      <c r="W16" s="46">
        <f>$U16*Discounting!C17</f>
        <v>46751.880432435755</v>
      </c>
      <c r="Y16" s="81"/>
      <c r="Z16" s="81"/>
      <c r="AA16" s="81"/>
      <c r="AB16" s="81"/>
      <c r="AC16" s="18"/>
      <c r="AH16" s="31"/>
    </row>
    <row r="17" spans="2:31" x14ac:dyDescent="0.25">
      <c r="B17">
        <f>'Truck Diversion Impacts'!D15</f>
        <v>2027</v>
      </c>
      <c r="C17" s="29">
        <f>'Truck Diversion Impacts'!G15</f>
        <v>1405096.1241746289</v>
      </c>
      <c r="D17" s="42">
        <v>0.49940000000000001</v>
      </c>
      <c r="E17" s="42">
        <v>3.5460000000000003</v>
      </c>
      <c r="F17" s="42">
        <v>1.62351816268483E-2</v>
      </c>
      <c r="G17" s="42">
        <v>8.9200000000000002E-2</v>
      </c>
      <c r="H17" s="42">
        <v>1490.50994975615</v>
      </c>
      <c r="I17" s="42"/>
      <c r="J17" s="43">
        <f t="shared" si="0"/>
        <v>701705.00441280962</v>
      </c>
      <c r="K17" s="43">
        <f t="shared" si="0"/>
        <v>4982470.8563232347</v>
      </c>
      <c r="L17" s="43">
        <f t="shared" si="0"/>
        <v>22811.990779155691</v>
      </c>
      <c r="M17" s="43">
        <f t="shared" si="0"/>
        <v>125334.57427637689</v>
      </c>
      <c r="N17" s="43">
        <f t="shared" si="0"/>
        <v>2094309753.4460871</v>
      </c>
      <c r="O17" s="43"/>
      <c r="P17" s="44">
        <f>J17*$C$2*P$6*Discounting!D18</f>
        <v>1545.8561247214195</v>
      </c>
      <c r="Q17" s="44">
        <f>K17*$C$2*Q$6*Discounting!D18</f>
        <v>45551.990680392359</v>
      </c>
      <c r="R17" s="44">
        <f>L17*$C$2*R$6*Discounting!D18</f>
        <v>1228.7302435344354</v>
      </c>
      <c r="S17" s="44">
        <f>M17*$C$2*S$6*Discounting!D18</f>
        <v>52157.569481019134</v>
      </c>
      <c r="T17" s="45">
        <f t="shared" si="1"/>
        <v>100484.14652966734</v>
      </c>
      <c r="U17" s="45">
        <f t="shared" si="3"/>
        <v>100484.14652966734</v>
      </c>
      <c r="V17" s="45">
        <f t="shared" si="2"/>
        <v>74769.641976316358</v>
      </c>
      <c r="W17" s="46">
        <f>$U17*Discounting!C18</f>
        <v>51081.044759117656</v>
      </c>
      <c r="Y17" s="81"/>
      <c r="Z17" s="81"/>
      <c r="AA17" s="81"/>
      <c r="AB17" s="81"/>
      <c r="AC17" s="18"/>
    </row>
    <row r="18" spans="2:31" x14ac:dyDescent="0.25">
      <c r="B18">
        <f>'Truck Diversion Impacts'!D16</f>
        <v>2028</v>
      </c>
      <c r="C18" s="29">
        <f>'Truck Diversion Impacts'!G16</f>
        <v>1729637.9178066754</v>
      </c>
      <c r="D18" s="42">
        <v>0.47960000000000003</v>
      </c>
      <c r="E18" s="42">
        <v>3.3140000000000005</v>
      </c>
      <c r="F18" s="42">
        <v>1.6234303635214199E-2</v>
      </c>
      <c r="G18" s="42">
        <v>7.7800000000000008E-2</v>
      </c>
      <c r="H18" s="42">
        <v>1478.9283462466899</v>
      </c>
      <c r="I18" s="42"/>
      <c r="J18" s="43">
        <f t="shared" si="0"/>
        <v>829534.34538008156</v>
      </c>
      <c r="K18" s="43">
        <f t="shared" si="0"/>
        <v>5732020.0596113233</v>
      </c>
      <c r="L18" s="43">
        <f t="shared" si="0"/>
        <v>28079.467136653227</v>
      </c>
      <c r="M18" s="43">
        <f t="shared" si="0"/>
        <v>134565.83000535937</v>
      </c>
      <c r="N18" s="43">
        <f t="shared" si="0"/>
        <v>2558010545.3873944</v>
      </c>
      <c r="O18" s="43"/>
      <c r="P18" s="44">
        <f>J18*$C$2*P$6*Discounting!D19</f>
        <v>1827.4641628723195</v>
      </c>
      <c r="Q18" s="44">
        <f>K18*$C$2*Q$6*Discounting!D19</f>
        <v>52404.706793993544</v>
      </c>
      <c r="R18" s="44">
        <f>L18*$C$2*R$6*Discounting!D19</f>
        <v>1512.4541661950507</v>
      </c>
      <c r="S18" s="44">
        <f>M18*$C$2*S$6*Discounting!D19</f>
        <v>55999.126089491292</v>
      </c>
      <c r="T18" s="45">
        <f t="shared" si="1"/>
        <v>111743.7512125522</v>
      </c>
      <c r="U18" s="45">
        <f t="shared" si="3"/>
        <v>111743.7512125522</v>
      </c>
      <c r="V18" s="45">
        <f t="shared" si="2"/>
        <v>80726.063402906453</v>
      </c>
      <c r="W18" s="46">
        <f>$U18*Discounting!C19</f>
        <v>53088.651242410204</v>
      </c>
      <c r="Y18" s="81"/>
      <c r="Z18" s="81"/>
      <c r="AA18" s="81"/>
      <c r="AB18" s="81"/>
      <c r="AC18" s="18"/>
    </row>
    <row r="19" spans="2:31" x14ac:dyDescent="0.25">
      <c r="B19">
        <f>'Truck Diversion Impacts'!D17</f>
        <v>2029</v>
      </c>
      <c r="C19" s="29">
        <f>'Truck Diversion Impacts'!G17</f>
        <v>730745.2586679688</v>
      </c>
      <c r="D19" s="42">
        <v>0.45980000000000004</v>
      </c>
      <c r="E19" s="42">
        <v>3.0820000000000007</v>
      </c>
      <c r="F19" s="42">
        <v>1.6230317709187599E-2</v>
      </c>
      <c r="G19" s="42">
        <v>6.6400000000000015E-2</v>
      </c>
      <c r="H19" s="42">
        <v>1467.5018887204001</v>
      </c>
      <c r="I19" s="42"/>
      <c r="J19" s="43">
        <f t="shared" si="0"/>
        <v>335996.66993553209</v>
      </c>
      <c r="K19" s="43">
        <f t="shared" si="0"/>
        <v>2252156.8872146802</v>
      </c>
      <c r="L19" s="43">
        <f t="shared" si="0"/>
        <v>11860.227712663607</v>
      </c>
      <c r="M19" s="43">
        <f t="shared" si="0"/>
        <v>48521.485175553142</v>
      </c>
      <c r="N19" s="43">
        <f t="shared" si="0"/>
        <v>1072370047.2687215</v>
      </c>
      <c r="O19" s="43"/>
      <c r="P19" s="44">
        <f>J19*$C$2*P$6*Discounting!D20</f>
        <v>740.20066386797714</v>
      </c>
      <c r="Q19" s="44">
        <f>K19*$C$2*Q$6*Discounting!D20</f>
        <v>20590.231733515855</v>
      </c>
      <c r="R19" s="44">
        <f>L19*$C$2*R$6*Discounting!D20</f>
        <v>638.83159636689925</v>
      </c>
      <c r="S19" s="44">
        <f>M19*$C$2*S$6*Discounting!D20</f>
        <v>20192.055934905358</v>
      </c>
      <c r="T19" s="45">
        <f t="shared" si="1"/>
        <v>42161.319928656092</v>
      </c>
      <c r="U19" s="45">
        <f t="shared" si="3"/>
        <v>42161.319928656092</v>
      </c>
      <c r="V19" s="45">
        <f t="shared" si="2"/>
        <v>29571.101520338423</v>
      </c>
      <c r="W19" s="46">
        <f>$U19*Discounting!C20</f>
        <v>18720.130265698048</v>
      </c>
      <c r="Y19" s="81"/>
      <c r="Z19" s="81"/>
      <c r="AA19" s="81"/>
      <c r="AB19" s="81"/>
      <c r="AC19" s="18"/>
    </row>
    <row r="20" spans="2:31" x14ac:dyDescent="0.25">
      <c r="B20">
        <f>'Truck Diversion Impacts'!D18</f>
        <v>2030</v>
      </c>
      <c r="C20" s="29">
        <f>'Truck Diversion Impacts'!G18</f>
        <v>857032.52160136728</v>
      </c>
      <c r="D20" s="42">
        <v>0.44</v>
      </c>
      <c r="E20" s="42">
        <v>2.85</v>
      </c>
      <c r="F20" s="42">
        <v>1.6229531843331198E-2</v>
      </c>
      <c r="G20" s="42">
        <v>5.5E-2</v>
      </c>
      <c r="H20" s="42">
        <v>1456.63266027138</v>
      </c>
      <c r="I20" s="42"/>
      <c r="J20" s="43">
        <f t="shared" si="0"/>
        <v>377094.30950460158</v>
      </c>
      <c r="K20" s="43">
        <f t="shared" si="0"/>
        <v>2442542.6865638969</v>
      </c>
      <c r="L20" s="43">
        <f t="shared" si="0"/>
        <v>13909.236600099823</v>
      </c>
      <c r="M20" s="43">
        <f t="shared" si="0"/>
        <v>47136.788688075198</v>
      </c>
      <c r="N20" s="43">
        <f t="shared" si="0"/>
        <v>1248381561.8792887</v>
      </c>
      <c r="O20" s="43"/>
      <c r="P20" s="44">
        <f>J20*$C$2*P$6*Discounting!D21</f>
        <v>830.73876383863717</v>
      </c>
      <c r="Q20" s="44">
        <f>K20*$C$2*Q$6*Discounting!D21</f>
        <v>22330.8243847761</v>
      </c>
      <c r="R20" s="44">
        <f>L20*$C$2*R$6*Discounting!D21</f>
        <v>749.19807922398672</v>
      </c>
      <c r="S20" s="44">
        <f>M20*$C$2*S$6*Discounting!D21</f>
        <v>19615.81906113982</v>
      </c>
      <c r="T20" s="45">
        <f t="shared" si="1"/>
        <v>43526.580288978548</v>
      </c>
      <c r="U20" s="45">
        <f t="shared" si="3"/>
        <v>43526.580288978548</v>
      </c>
      <c r="V20" s="45">
        <f t="shared" si="2"/>
        <v>29639.483173100587</v>
      </c>
      <c r="W20" s="46">
        <f>$U20*Discounting!C21</f>
        <v>18061.983358092086</v>
      </c>
      <c r="Y20" s="81"/>
      <c r="Z20" s="81"/>
      <c r="AA20" s="81"/>
      <c r="AB20" s="81"/>
      <c r="AC20" s="18"/>
    </row>
    <row r="21" spans="2:31" x14ac:dyDescent="0.25">
      <c r="B21">
        <f>'Truck Diversion Impacts'!D19</f>
        <v>2031</v>
      </c>
      <c r="C21" s="29">
        <f>'Truck Diversion Impacts'!G19</f>
        <v>989634.1476814358</v>
      </c>
      <c r="D21" s="42">
        <v>0.43180000000000002</v>
      </c>
      <c r="E21" s="42">
        <v>2.762</v>
      </c>
      <c r="F21" s="42">
        <v>1.6228222452451702E-2</v>
      </c>
      <c r="G21" s="42">
        <v>5.3533333333333336E-2</v>
      </c>
      <c r="H21" s="42">
        <v>1446.19969221202</v>
      </c>
      <c r="I21" s="42"/>
      <c r="J21" s="43">
        <f t="shared" si="0"/>
        <v>427324.02496884402</v>
      </c>
      <c r="K21" s="43">
        <f t="shared" si="0"/>
        <v>2733369.5158961257</v>
      </c>
      <c r="L21" s="43">
        <f t="shared" si="0"/>
        <v>16060.003095116779</v>
      </c>
      <c r="M21" s="43">
        <f t="shared" si="0"/>
        <v>52978.414705879535</v>
      </c>
      <c r="N21" s="43">
        <f t="shared" si="0"/>
        <v>1431208599.7793972</v>
      </c>
      <c r="O21" s="43"/>
      <c r="P21" s="44">
        <f>J21*$C$2*P$6*Discounting!D22</f>
        <v>941.39482700636336</v>
      </c>
      <c r="Q21" s="44">
        <f>K21*$C$2*Q$6*Discounting!D22</f>
        <v>24989.694130604534</v>
      </c>
      <c r="R21" s="44">
        <f>L21*$C$2*R$6*Discounting!D22</f>
        <v>865.04556771335831</v>
      </c>
      <c r="S21" s="44">
        <f>M21*$C$2*S$6*Discounting!D22</f>
        <v>22046.792451083238</v>
      </c>
      <c r="T21" s="45">
        <f t="shared" si="1"/>
        <v>48842.926976407492</v>
      </c>
      <c r="U21" s="45">
        <f t="shared" si="3"/>
        <v>48842.926976407492</v>
      </c>
      <c r="V21" s="45">
        <f t="shared" si="2"/>
        <v>32290.928712401568</v>
      </c>
      <c r="W21" s="46">
        <f>$U21*Discounting!C22</f>
        <v>18942.129183201025</v>
      </c>
      <c r="Y21" s="81"/>
      <c r="Z21" s="81"/>
      <c r="AA21" s="81"/>
      <c r="AB21" s="81"/>
      <c r="AC21" s="18"/>
    </row>
    <row r="22" spans="2:31" x14ac:dyDescent="0.25">
      <c r="B22">
        <f>'Truck Diversion Impacts'!D20</f>
        <v>2032</v>
      </c>
      <c r="C22" s="29">
        <f>'Truck Diversion Impacts'!G20</f>
        <v>1121875</v>
      </c>
      <c r="D22" s="42">
        <v>0.42360000000000003</v>
      </c>
      <c r="E22" s="42">
        <v>2.6739999999999999</v>
      </c>
      <c r="F22" s="42">
        <v>1.6227577622662501E-2</v>
      </c>
      <c r="G22" s="42">
        <v>5.2066666666666671E-2</v>
      </c>
      <c r="H22" s="42">
        <v>1435.6148531578001</v>
      </c>
      <c r="I22" s="42"/>
      <c r="J22" s="43">
        <f t="shared" si="0"/>
        <v>475226.25000000006</v>
      </c>
      <c r="K22" s="43">
        <f t="shared" si="0"/>
        <v>2999893.75</v>
      </c>
      <c r="L22" s="43">
        <f t="shared" si="0"/>
        <v>18205.313645424492</v>
      </c>
      <c r="M22" s="43">
        <f t="shared" si="0"/>
        <v>58412.291666666672</v>
      </c>
      <c r="N22" s="43">
        <f t="shared" si="0"/>
        <v>1610580413.3864069</v>
      </c>
      <c r="O22" s="43"/>
      <c r="P22" s="44">
        <f>J22*$C$2*P$6*Discounting!D23</f>
        <v>1046.9234287500001</v>
      </c>
      <c r="Q22" s="44">
        <f>K22*$C$2*Q$6*Discounting!D23</f>
        <v>27426.378614687503</v>
      </c>
      <c r="R22" s="44">
        <f>L22*$C$2*R$6*Discounting!D23</f>
        <v>980.59918074327527</v>
      </c>
      <c r="S22" s="44">
        <f>M22*$C$2*S$6*Discounting!D23</f>
        <v>24308.082416520836</v>
      </c>
      <c r="T22" s="45">
        <f t="shared" si="1"/>
        <v>53761.983640701612</v>
      </c>
      <c r="U22" s="45">
        <f t="shared" si="3"/>
        <v>53761.983640701612</v>
      </c>
      <c r="V22" s="45">
        <f t="shared" si="2"/>
        <v>34507.771515531218</v>
      </c>
      <c r="W22" s="46">
        <f>$U22*Discounting!C23</f>
        <v>19485.816978649957</v>
      </c>
      <c r="Y22" s="81"/>
      <c r="Z22" s="81"/>
      <c r="AA22" s="81"/>
      <c r="AB22" s="81"/>
      <c r="AC22" s="18"/>
    </row>
    <row r="23" spans="2:31" x14ac:dyDescent="0.25">
      <c r="B23">
        <f>'Truck Diversion Impacts'!D21</f>
        <v>2033</v>
      </c>
      <c r="C23" s="29">
        <f>'Truck Diversion Impacts'!G21</f>
        <v>1121875</v>
      </c>
      <c r="D23" s="42">
        <v>0.41540000000000005</v>
      </c>
      <c r="E23" s="42">
        <v>2.5859999999999999</v>
      </c>
      <c r="F23" s="42">
        <v>1.6226996521099098E-2</v>
      </c>
      <c r="G23" s="42">
        <v>5.0600000000000006E-2</v>
      </c>
      <c r="H23" s="42">
        <v>1424.9870978986</v>
      </c>
      <c r="I23" s="42"/>
      <c r="J23" s="43">
        <f t="shared" si="0"/>
        <v>466026.87500000006</v>
      </c>
      <c r="K23" s="43">
        <f t="shared" si="0"/>
        <v>2901168.75</v>
      </c>
      <c r="L23" s="43">
        <f t="shared" si="0"/>
        <v>18204.661722108052</v>
      </c>
      <c r="M23" s="43">
        <f t="shared" si="0"/>
        <v>56766.875000000007</v>
      </c>
      <c r="N23" s="43">
        <f t="shared" si="0"/>
        <v>1598657400.4549918</v>
      </c>
      <c r="O23" s="43"/>
      <c r="P23" s="44">
        <f>J23*$C$2*P$6*Discounting!D24</f>
        <v>1026.6572056250002</v>
      </c>
      <c r="Q23" s="44">
        <f>K23*$C$2*Q$6*Discounting!D24</f>
        <v>26523.790238437501</v>
      </c>
      <c r="R23" s="44">
        <f>L23*$C$2*R$6*Discounting!D24</f>
        <v>980.56406596950865</v>
      </c>
      <c r="S23" s="44">
        <f>M23*$C$2*S$6*Discounting!D24</f>
        <v>23623.347700562503</v>
      </c>
      <c r="T23" s="45">
        <f t="shared" si="1"/>
        <v>52154.359210594514</v>
      </c>
      <c r="U23" s="45">
        <f t="shared" si="3"/>
        <v>52154.359210594514</v>
      </c>
      <c r="V23" s="45">
        <f t="shared" si="2"/>
        <v>32500.872396252562</v>
      </c>
      <c r="W23" s="46">
        <f>$U23*Discounting!C24</f>
        <v>17666.485890540022</v>
      </c>
      <c r="Y23" s="81"/>
      <c r="Z23" s="81"/>
      <c r="AA23" s="81"/>
      <c r="AB23" s="81"/>
      <c r="AC23" s="18"/>
    </row>
    <row r="24" spans="2:31" x14ac:dyDescent="0.25">
      <c r="B24">
        <f>'Truck Diversion Impacts'!D22</f>
        <v>2034</v>
      </c>
      <c r="C24" s="29">
        <f>'Truck Diversion Impacts'!G22</f>
        <v>1121875</v>
      </c>
      <c r="D24" s="42">
        <v>0.40720000000000006</v>
      </c>
      <c r="E24" s="42">
        <v>2.4979999999999998</v>
      </c>
      <c r="F24" s="42">
        <v>1.62348062395728E-2</v>
      </c>
      <c r="G24" s="42">
        <v>4.9133333333333341E-2</v>
      </c>
      <c r="H24" s="42">
        <v>1414.9196124105399</v>
      </c>
      <c r="I24" s="42"/>
      <c r="J24" s="43">
        <f t="shared" si="0"/>
        <v>456827.50000000006</v>
      </c>
      <c r="K24" s="43">
        <f t="shared" si="0"/>
        <v>2802443.7499999995</v>
      </c>
      <c r="L24" s="43">
        <f t="shared" si="0"/>
        <v>18213.423250020736</v>
      </c>
      <c r="M24" s="43">
        <f t="shared" si="0"/>
        <v>55121.458333333343</v>
      </c>
      <c r="N24" s="43">
        <f t="shared" si="0"/>
        <v>1587362940.1730745</v>
      </c>
      <c r="O24" s="43"/>
      <c r="P24" s="44">
        <f>J24*$C$2*P$6*Discounting!D25</f>
        <v>1006.3909825000001</v>
      </c>
      <c r="Q24" s="44">
        <f>K24*$C$2*Q$6*Discounting!D25</f>
        <v>25621.201862187496</v>
      </c>
      <c r="R24" s="44">
        <f>L24*$C$2*R$6*Discounting!D25</f>
        <v>981.03599121400441</v>
      </c>
      <c r="S24" s="44">
        <f>M24*$C$2*S$6*Discounting!D25</f>
        <v>22938.612984604169</v>
      </c>
      <c r="T24" s="45">
        <f t="shared" si="1"/>
        <v>50547.241820505675</v>
      </c>
      <c r="U24" s="45">
        <f t="shared" si="3"/>
        <v>50547.241820505675</v>
      </c>
      <c r="V24" s="45">
        <f t="shared" si="2"/>
        <v>30581.912593498528</v>
      </c>
      <c r="W24" s="46">
        <f>$U24*Discounting!C25</f>
        <v>16001.962268968562</v>
      </c>
      <c r="Y24" s="81"/>
      <c r="Z24" s="81"/>
      <c r="AA24" s="81"/>
      <c r="AB24" s="81"/>
      <c r="AC24" s="18"/>
    </row>
    <row r="25" spans="2:31" x14ac:dyDescent="0.25">
      <c r="B25">
        <f>'Truck Diversion Impacts'!D23</f>
        <v>2035</v>
      </c>
      <c r="C25" s="29">
        <f>'Truck Diversion Impacts'!G23</f>
        <v>1121875</v>
      </c>
      <c r="D25" s="42">
        <v>0.39900000000000002</v>
      </c>
      <c r="E25" s="42">
        <v>2.41</v>
      </c>
      <c r="F25" s="42">
        <v>1.62343771014361E-2</v>
      </c>
      <c r="G25" s="42">
        <v>3.3000000000000002E-2</v>
      </c>
      <c r="H25" s="42">
        <v>1405.7574795636999</v>
      </c>
      <c r="I25" s="42"/>
      <c r="J25" s="43">
        <f t="shared" si="0"/>
        <v>447628.125</v>
      </c>
      <c r="K25" s="43">
        <f t="shared" si="0"/>
        <v>2703718.75</v>
      </c>
      <c r="L25" s="43">
        <f t="shared" si="0"/>
        <v>18212.941810673627</v>
      </c>
      <c r="M25" s="43">
        <f t="shared" si="0"/>
        <v>37021.875</v>
      </c>
      <c r="N25" s="43">
        <f t="shared" si="0"/>
        <v>1577084172.3855259</v>
      </c>
      <c r="O25" s="43"/>
      <c r="P25" s="44">
        <f>J25*$C$2*P$6*Discounting!D26</f>
        <v>986.12475937499994</v>
      </c>
      <c r="Q25" s="44">
        <f>K25*$C$2*Q$6*Discounting!D26</f>
        <v>24718.613485937498</v>
      </c>
      <c r="R25" s="44">
        <f>L25*$C$2*R$6*Discounting!D26</f>
        <v>981.01005927794722</v>
      </c>
      <c r="S25" s="44">
        <f>M25*$C$2*S$6*Discounting!D26</f>
        <v>15406.531109062498</v>
      </c>
      <c r="T25" s="45">
        <f t="shared" si="1"/>
        <v>42092.279413652941</v>
      </c>
      <c r="U25" s="45">
        <f t="shared" si="3"/>
        <v>42092.279413652941</v>
      </c>
      <c r="V25" s="45">
        <f t="shared" si="2"/>
        <v>24724.777949857606</v>
      </c>
      <c r="W25" s="46">
        <f>$U25*Discounting!C26</f>
        <v>12453.586634226347</v>
      </c>
      <c r="Y25" s="81"/>
      <c r="Z25" s="81"/>
      <c r="AA25" s="81"/>
      <c r="AB25" s="81"/>
      <c r="AC25" s="18"/>
    </row>
    <row r="26" spans="2:31" x14ac:dyDescent="0.25">
      <c r="B26">
        <f>'Truck Diversion Impacts'!D24</f>
        <v>2036</v>
      </c>
      <c r="C26" s="29">
        <f>'Truck Diversion Impacts'!G24</f>
        <v>1121875</v>
      </c>
      <c r="D26" s="42">
        <v>0.39760000000000001</v>
      </c>
      <c r="E26" s="42">
        <v>2.3919999999999999</v>
      </c>
      <c r="F26" s="42">
        <v>1.6233935808414701E-2</v>
      </c>
      <c r="G26" s="42">
        <v>3.2399999999999998E-2</v>
      </c>
      <c r="H26" s="42">
        <v>1397.2013658395199</v>
      </c>
      <c r="I26" s="42"/>
      <c r="J26" s="43">
        <f t="shared" si="0"/>
        <v>446057.5</v>
      </c>
      <c r="K26" s="43">
        <f t="shared" si="0"/>
        <v>2683525</v>
      </c>
      <c r="L26" s="43">
        <f t="shared" si="0"/>
        <v>18212.446735065241</v>
      </c>
      <c r="M26" s="43">
        <f t="shared" si="0"/>
        <v>36348.75</v>
      </c>
      <c r="N26" s="43">
        <f t="shared" si="0"/>
        <v>1567485282.3012114</v>
      </c>
      <c r="O26" s="43"/>
      <c r="P26" s="44">
        <f>J26*$C$2*P$6*Discounting!D27</f>
        <v>982.66467249999994</v>
      </c>
      <c r="Q26" s="44">
        <f>K26*$C$2*Q$6*Discounting!D27</f>
        <v>24533.993136250003</v>
      </c>
      <c r="R26" s="44">
        <f>L26*$C$2*R$6*Discounting!D27</f>
        <v>980.98339284717633</v>
      </c>
      <c r="S26" s="44">
        <f>M26*$C$2*S$6*Discounting!D27</f>
        <v>15126.412361625</v>
      </c>
      <c r="T26" s="45">
        <f t="shared" si="1"/>
        <v>41624.05356322218</v>
      </c>
      <c r="U26" s="45">
        <f t="shared" si="3"/>
        <v>41624.05356322218</v>
      </c>
      <c r="V26" s="45">
        <f t="shared" si="2"/>
        <v>23737.616126376728</v>
      </c>
      <c r="W26" s="46">
        <f>$U26*Discounting!C27</f>
        <v>11509.397663920459</v>
      </c>
      <c r="Y26" s="81"/>
      <c r="Z26" s="81"/>
      <c r="AA26" s="81"/>
      <c r="AB26" s="81"/>
      <c r="AC26" s="18"/>
    </row>
    <row r="27" spans="2:31" x14ac:dyDescent="0.25">
      <c r="B27">
        <f>'Truck Diversion Impacts'!D25</f>
        <v>2037</v>
      </c>
      <c r="C27" s="29">
        <f>'Truck Diversion Impacts'!G25</f>
        <v>1121875</v>
      </c>
      <c r="D27" s="42">
        <v>0.3962</v>
      </c>
      <c r="E27" s="42">
        <v>2.3739999999999997</v>
      </c>
      <c r="F27" s="42">
        <v>1.6233470257999701E-2</v>
      </c>
      <c r="G27" s="42">
        <v>3.1799999999999995E-2</v>
      </c>
      <c r="H27" s="42">
        <v>1389.22137068341</v>
      </c>
      <c r="I27" s="42"/>
      <c r="J27" s="43">
        <f t="shared" si="0"/>
        <v>444486.875</v>
      </c>
      <c r="K27" s="43">
        <f t="shared" si="0"/>
        <v>2663331.2499999995</v>
      </c>
      <c r="L27" s="43">
        <f t="shared" si="0"/>
        <v>18211.924445693414</v>
      </c>
      <c r="M27" s="43">
        <f t="shared" si="0"/>
        <v>35675.624999999993</v>
      </c>
      <c r="N27" s="43">
        <f t="shared" si="0"/>
        <v>1558532725.2354505</v>
      </c>
      <c r="O27" s="43"/>
      <c r="P27" s="44">
        <f>J27*$C$2*P$6*Discounting!D28</f>
        <v>979.20458562500005</v>
      </c>
      <c r="Q27" s="44">
        <f>K27*$C$2*Q$6*Discounting!D28</f>
        <v>24349.372786562497</v>
      </c>
      <c r="R27" s="44">
        <f>L27*$C$2*R$6*Discounting!D28</f>
        <v>980.95526059194026</v>
      </c>
      <c r="S27" s="44">
        <f>M27*$C$2*S$6*Discounting!D28</f>
        <v>14846.293614187496</v>
      </c>
      <c r="T27" s="45">
        <f t="shared" si="1"/>
        <v>41155.826246966935</v>
      </c>
      <c r="U27" s="45">
        <f t="shared" si="3"/>
        <v>41155.826246966935</v>
      </c>
      <c r="V27" s="45">
        <f t="shared" si="2"/>
        <v>22786.983136451177</v>
      </c>
      <c r="W27" s="46">
        <f>$U27*Discounting!C28</f>
        <v>10635.44757872204</v>
      </c>
      <c r="Y27" s="81"/>
      <c r="Z27" s="81"/>
      <c r="AA27" s="81"/>
      <c r="AB27" s="81"/>
      <c r="AC27" s="18"/>
    </row>
    <row r="28" spans="2:31" x14ac:dyDescent="0.25">
      <c r="B28">
        <f>'Truck Diversion Impacts'!D26</f>
        <v>2038</v>
      </c>
      <c r="C28" s="29">
        <f>'Truck Diversion Impacts'!G26</f>
        <v>1121875</v>
      </c>
      <c r="D28" s="42">
        <v>0.39479999999999998</v>
      </c>
      <c r="E28" s="42">
        <v>2.3559999999999994</v>
      </c>
      <c r="F28" s="42">
        <v>1.6232978325580599E-2</v>
      </c>
      <c r="G28" s="42">
        <v>3.1199999999999995E-2</v>
      </c>
      <c r="H28" s="42">
        <v>1382.2050990354501</v>
      </c>
      <c r="I28" s="42"/>
      <c r="J28" s="43">
        <f t="shared" si="0"/>
        <v>442916.25</v>
      </c>
      <c r="K28" s="43">
        <f t="shared" si="0"/>
        <v>2643137.4999999995</v>
      </c>
      <c r="L28" s="43">
        <f t="shared" si="0"/>
        <v>18211.372559010735</v>
      </c>
      <c r="M28" s="43">
        <f t="shared" si="0"/>
        <v>35002.499999999993</v>
      </c>
      <c r="N28" s="43">
        <f t="shared" si="0"/>
        <v>1550661345.4803956</v>
      </c>
      <c r="O28" s="43"/>
      <c r="P28" s="44">
        <f>J28*$C$2*P$6*Discounting!D29</f>
        <v>975.74449874999993</v>
      </c>
      <c r="Q28" s="44">
        <f>K28*$C$2*Q$6*Discounting!D29</f>
        <v>24164.752436874998</v>
      </c>
      <c r="R28" s="44">
        <f>L28*$C$2*R$6*Discounting!D29</f>
        <v>980.92553412639074</v>
      </c>
      <c r="S28" s="44">
        <f>M28*$C$2*S$6*Discounting!D29</f>
        <v>14566.174866749998</v>
      </c>
      <c r="T28" s="45">
        <f t="shared" si="1"/>
        <v>40687.597336501385</v>
      </c>
      <c r="U28" s="45">
        <f t="shared" si="3"/>
        <v>40687.597336501385</v>
      </c>
      <c r="V28" s="45">
        <f t="shared" si="2"/>
        <v>21871.588486715846</v>
      </c>
      <c r="W28" s="46">
        <f>$U28*Discounting!C29</f>
        <v>9826.5872248513151</v>
      </c>
      <c r="Y28" s="81"/>
      <c r="Z28" s="81"/>
      <c r="AA28" s="81"/>
      <c r="AB28" s="81"/>
      <c r="AC28" s="18"/>
      <c r="AE28" s="81"/>
    </row>
    <row r="29" spans="2:31" x14ac:dyDescent="0.25">
      <c r="B29">
        <f>'Truck Diversion Impacts'!D27</f>
        <v>2039</v>
      </c>
      <c r="C29" s="29">
        <f>'Truck Diversion Impacts'!G27</f>
        <v>1121875</v>
      </c>
      <c r="D29" s="42">
        <v>0.39339999999999997</v>
      </c>
      <c r="E29" s="42">
        <v>2.3379999999999992</v>
      </c>
      <c r="F29" s="42">
        <f t="shared" ref="F29:H36" si="4">F28</f>
        <v>1.6232978325580599E-2</v>
      </c>
      <c r="G29" s="42">
        <v>3.0599999999999995E-2</v>
      </c>
      <c r="H29" s="42">
        <v>1376.25969228859</v>
      </c>
      <c r="I29" s="42"/>
      <c r="J29" s="43">
        <f t="shared" si="0"/>
        <v>441345.62499999994</v>
      </c>
      <c r="K29" s="43">
        <f t="shared" si="0"/>
        <v>2622943.7499999991</v>
      </c>
      <c r="L29" s="43">
        <f t="shared" si="0"/>
        <v>18211.372559010735</v>
      </c>
      <c r="M29" s="43">
        <f t="shared" si="0"/>
        <v>34329.374999999993</v>
      </c>
      <c r="N29" s="43">
        <f t="shared" si="0"/>
        <v>1543991342.286262</v>
      </c>
      <c r="O29" s="43"/>
      <c r="P29" s="44">
        <f>J29*$C$2*P$6*Discounting!D30</f>
        <v>972.28441187499982</v>
      </c>
      <c r="Q29" s="44">
        <f>K29*$C$2*Q$6*Discounting!D30</f>
        <v>23980.132087187492</v>
      </c>
      <c r="R29" s="44">
        <f>L29*$C$2*R$6*Discounting!D30</f>
        <v>980.92553412639074</v>
      </c>
      <c r="S29" s="44">
        <f>M29*$C$2*S$6*Discounting!D30</f>
        <v>14286.056119312496</v>
      </c>
      <c r="T29" s="45">
        <f t="shared" si="1"/>
        <v>40219.398152501381</v>
      </c>
      <c r="U29" s="45">
        <f t="shared" si="3"/>
        <v>40219.398152501381</v>
      </c>
      <c r="V29" s="45">
        <f t="shared" si="2"/>
        <v>20990.202285801384</v>
      </c>
      <c r="W29" s="46">
        <f>$U29*Discounting!C30</f>
        <v>9078.0476586106743</v>
      </c>
      <c r="Y29" s="81"/>
      <c r="Z29" s="81"/>
      <c r="AA29" s="81"/>
      <c r="AB29" s="81"/>
      <c r="AC29" s="18"/>
      <c r="AE29" s="81"/>
    </row>
    <row r="30" spans="2:31" x14ac:dyDescent="0.25">
      <c r="B30">
        <f>'Truck Diversion Impacts'!D28</f>
        <v>2040</v>
      </c>
      <c r="C30" s="29">
        <f>'Truck Diversion Impacts'!G28</f>
        <v>1121875</v>
      </c>
      <c r="D30" s="42">
        <v>0.39200000000000002</v>
      </c>
      <c r="E30" s="42">
        <v>2.3199999999999998</v>
      </c>
      <c r="F30" s="42">
        <f t="shared" si="4"/>
        <v>1.6232978325580599E-2</v>
      </c>
      <c r="G30" s="42">
        <v>0.03</v>
      </c>
      <c r="H30" s="42">
        <v>1371.1145851826</v>
      </c>
      <c r="I30" s="42"/>
      <c r="J30" s="43">
        <f t="shared" si="0"/>
        <v>439775</v>
      </c>
      <c r="K30" s="43">
        <f t="shared" si="0"/>
        <v>2602750</v>
      </c>
      <c r="L30" s="43">
        <f t="shared" si="0"/>
        <v>18211.372559010735</v>
      </c>
      <c r="M30" s="43">
        <f t="shared" si="0"/>
        <v>33656.25</v>
      </c>
      <c r="N30" s="43">
        <f t="shared" si="0"/>
        <v>1538219175.2517292</v>
      </c>
      <c r="O30" s="43"/>
      <c r="P30" s="44">
        <f>J30*$C$2*P$6*Discounting!D31</f>
        <v>968.82432499999993</v>
      </c>
      <c r="Q30" s="44">
        <f>K30*$C$2*Q$6*Discounting!D31</f>
        <v>23795.511737500001</v>
      </c>
      <c r="R30" s="44">
        <f>L30*$C$2*R$6*Discounting!D31</f>
        <v>980.92553412639074</v>
      </c>
      <c r="S30" s="44">
        <f>M30*$C$2*S$6*Discounting!D31</f>
        <v>14005.937371874999</v>
      </c>
      <c r="T30" s="45">
        <f t="shared" si="1"/>
        <v>39751.198968501398</v>
      </c>
      <c r="U30" s="45">
        <f t="shared" si="3"/>
        <v>39751.198968501398</v>
      </c>
      <c r="V30" s="45">
        <f t="shared" si="2"/>
        <v>20141.604507526648</v>
      </c>
      <c r="W30" s="46">
        <f>$U30*Discounting!C31</f>
        <v>8385.3915316407802</v>
      </c>
      <c r="Y30" s="81"/>
      <c r="Z30" s="81"/>
      <c r="AA30" s="81"/>
      <c r="AB30" s="81"/>
      <c r="AC30" s="18"/>
      <c r="AE30" s="81"/>
    </row>
    <row r="31" spans="2:31" x14ac:dyDescent="0.25">
      <c r="B31">
        <f>'Truck Diversion Impacts'!D29</f>
        <v>2041</v>
      </c>
      <c r="C31" s="29">
        <f>'Truck Diversion Impacts'!G29</f>
        <v>1121875</v>
      </c>
      <c r="D31" s="42">
        <v>0.39060498220640577</v>
      </c>
      <c r="E31" s="42">
        <v>2.3021385799828922</v>
      </c>
      <c r="F31" s="42">
        <f t="shared" si="4"/>
        <v>1.6232978325580599E-2</v>
      </c>
      <c r="G31" s="42">
        <v>2.9411764705882356E-2</v>
      </c>
      <c r="H31" s="42">
        <v>1366.64377293282</v>
      </c>
      <c r="I31" s="42"/>
      <c r="J31" s="43">
        <f t="shared" si="0"/>
        <v>438209.96441281145</v>
      </c>
      <c r="K31" s="43">
        <f t="shared" si="0"/>
        <v>2582711.7194183073</v>
      </c>
      <c r="L31" s="43">
        <f t="shared" si="0"/>
        <v>18211.372559010735</v>
      </c>
      <c r="M31" s="43">
        <f t="shared" si="0"/>
        <v>32996.323529411769</v>
      </c>
      <c r="N31" s="43">
        <f t="shared" si="0"/>
        <v>1533203482.7590075</v>
      </c>
      <c r="O31" s="43"/>
      <c r="P31" s="44">
        <f>J31*$C$2*P$6*Discounting!D32</f>
        <v>965.37655160142356</v>
      </c>
      <c r="Q31" s="44">
        <f>K31*$C$2*Q$6*Discounting!D32</f>
        <v>23612.312759195906</v>
      </c>
      <c r="R31" s="44">
        <f>L31*$C$2*R$6*Discounting!D32</f>
        <v>980.92553412639074</v>
      </c>
      <c r="S31" s="44">
        <f>M31*$C$2*S$6*Discounting!D32</f>
        <v>13731.311148897059</v>
      </c>
      <c r="T31" s="45">
        <f t="shared" si="1"/>
        <v>39289.925993820783</v>
      </c>
      <c r="U31" s="45">
        <f t="shared" si="3"/>
        <v>39289.925993820783</v>
      </c>
      <c r="V31" s="45">
        <f t="shared" si="2"/>
        <v>19328.040094643071</v>
      </c>
      <c r="W31" s="46">
        <f>$U31*Discounting!C32</f>
        <v>7745.8761077201216</v>
      </c>
      <c r="Y31" s="81"/>
      <c r="Z31" s="81"/>
      <c r="AA31" s="81"/>
      <c r="AB31" s="81"/>
      <c r="AC31" s="18"/>
      <c r="AE31" s="81"/>
    </row>
    <row r="32" spans="2:31" x14ac:dyDescent="0.25">
      <c r="B32">
        <f>'Truck Diversion Impacts'!D30</f>
        <v>2042</v>
      </c>
      <c r="C32" s="29">
        <f>'Truck Diversion Impacts'!G30</f>
        <v>1121875</v>
      </c>
      <c r="D32" s="42">
        <v>0.38921492888894532</v>
      </c>
      <c r="E32" s="42">
        <v>2.2844146730369168</v>
      </c>
      <c r="F32" s="42">
        <f t="shared" si="4"/>
        <v>1.6232978325580599E-2</v>
      </c>
      <c r="G32" s="42">
        <v>2.8835063437139569E-2</v>
      </c>
      <c r="H32" s="42">
        <v>1362.77553566091</v>
      </c>
      <c r="I32" s="42"/>
      <c r="J32" s="43">
        <f t="shared" si="0"/>
        <v>436650.49834728555</v>
      </c>
      <c r="K32" s="43">
        <f t="shared" si="0"/>
        <v>2562827.711313291</v>
      </c>
      <c r="L32" s="43">
        <f t="shared" si="0"/>
        <v>18211.372559010735</v>
      </c>
      <c r="M32" s="43">
        <f t="shared" si="0"/>
        <v>32349.336793540955</v>
      </c>
      <c r="N32" s="43">
        <f t="shared" si="0"/>
        <v>1528863804.0695834</v>
      </c>
      <c r="O32" s="43"/>
      <c r="P32" s="44">
        <f>J32*$C$2*P$6*Discounting!D33</f>
        <v>961.94104785907007</v>
      </c>
      <c r="Q32" s="44">
        <f>K32*$C$2*Q$6*Discounting!D33</f>
        <v>23430.5242092962</v>
      </c>
      <c r="R32" s="44">
        <f>L32*$C$2*R$6*Discounting!D33</f>
        <v>980.92553412639074</v>
      </c>
      <c r="S32" s="44">
        <f>M32*$C$2*S$6*Discounting!D33</f>
        <v>13462.06975382065</v>
      </c>
      <c r="T32" s="45">
        <f t="shared" si="1"/>
        <v>38835.460545102309</v>
      </c>
      <c r="U32" s="45">
        <f t="shared" si="3"/>
        <v>38835.460545102309</v>
      </c>
      <c r="V32" s="45">
        <f t="shared" si="2"/>
        <v>18548.032241182311</v>
      </c>
      <c r="W32" s="46">
        <f>$U32*Discounting!C33</f>
        <v>7155.4016641324861</v>
      </c>
      <c r="Y32" s="81"/>
      <c r="Z32" s="81"/>
      <c r="AA32" s="81"/>
      <c r="AB32" s="81"/>
      <c r="AC32" s="18"/>
      <c r="AE32" s="81"/>
    </row>
    <row r="33" spans="2:31" x14ac:dyDescent="0.25">
      <c r="B33">
        <f>'Truck Diversion Impacts'!D31</f>
        <v>2043</v>
      </c>
      <c r="C33" s="29">
        <f>'Truck Diversion Impacts'!G31</f>
        <v>1121875</v>
      </c>
      <c r="D33" s="42">
        <v>0.38782982238044378</v>
      </c>
      <c r="E33" s="42">
        <v>2.2668272204643491</v>
      </c>
      <c r="F33" s="42">
        <f t="shared" si="4"/>
        <v>1.6232978325580599E-2</v>
      </c>
      <c r="G33" s="42">
        <v>2.8269670036411343E-2</v>
      </c>
      <c r="H33" s="42">
        <v>1359.1942271089099</v>
      </c>
      <c r="I33" s="42"/>
      <c r="J33" s="43">
        <f t="shared" si="0"/>
        <v>435096.58198306034</v>
      </c>
      <c r="K33" s="43">
        <f t="shared" si="0"/>
        <v>2543096.7879584418</v>
      </c>
      <c r="L33" s="43">
        <f t="shared" si="0"/>
        <v>18211.372559010735</v>
      </c>
      <c r="M33" s="43">
        <f t="shared" si="0"/>
        <v>31715.036072098974</v>
      </c>
      <c r="N33" s="43">
        <f t="shared" si="0"/>
        <v>1524846023.5378082</v>
      </c>
      <c r="O33" s="43"/>
      <c r="P33" s="44">
        <f>J33*$C$2*P$6*Discounting!D34</f>
        <v>958.51777010868193</v>
      </c>
      <c r="Q33" s="44">
        <f>K33*$C$2*Q$6*Discounting!D34</f>
        <v>23250.13522907066</v>
      </c>
      <c r="R33" s="44">
        <f>L33*$C$2*R$6*Discounting!D34</f>
        <v>980.92553412639074</v>
      </c>
      <c r="S33" s="44">
        <f>M33*$C$2*S$6*Discounting!D34</f>
        <v>13198.10760178495</v>
      </c>
      <c r="T33" s="45">
        <f t="shared" si="1"/>
        <v>38387.686135090684</v>
      </c>
      <c r="U33" s="45">
        <f t="shared" si="3"/>
        <v>38387.686135090684</v>
      </c>
      <c r="V33" s="45">
        <f t="shared" si="2"/>
        <v>17800.167659405732</v>
      </c>
      <c r="W33" s="46">
        <f>$U33*Discounting!C34</f>
        <v>6610.1865396003168</v>
      </c>
      <c r="Y33" s="81"/>
      <c r="Z33" s="81"/>
      <c r="AA33" s="81"/>
      <c r="AB33" s="81"/>
      <c r="AC33" s="18"/>
    </row>
    <row r="34" spans="2:31" x14ac:dyDescent="0.25">
      <c r="B34">
        <f>'Truck Diversion Impacts'!D32</f>
        <v>2044</v>
      </c>
      <c r="C34" s="29">
        <f>'Truck Diversion Impacts'!G32</f>
        <v>1121875</v>
      </c>
      <c r="D34" s="42">
        <v>0.38644964507659879</v>
      </c>
      <c r="E34" s="42">
        <v>2.2493751717182597</v>
      </c>
      <c r="F34" s="42">
        <f t="shared" si="4"/>
        <v>1.6232978325580599E-2</v>
      </c>
      <c r="G34" s="42">
        <v>2.7715362780795436E-2</v>
      </c>
      <c r="H34" s="42">
        <v>1356.0206240877601</v>
      </c>
      <c r="I34" s="42"/>
      <c r="J34" s="43">
        <f t="shared" si="0"/>
        <v>433548.1955703093</v>
      </c>
      <c r="K34" s="43">
        <f t="shared" si="0"/>
        <v>2523517.7707714224</v>
      </c>
      <c r="L34" s="43">
        <f t="shared" si="0"/>
        <v>18211.372559010735</v>
      </c>
      <c r="M34" s="43">
        <f t="shared" si="0"/>
        <v>31093.172619704881</v>
      </c>
      <c r="N34" s="43">
        <f t="shared" si="0"/>
        <v>1521285637.6484559</v>
      </c>
      <c r="O34" s="43"/>
      <c r="P34" s="44">
        <f>J34*$C$2*P$6*Discounting!D35</f>
        <v>955.10667484139128</v>
      </c>
      <c r="Q34" s="44">
        <f>K34*$C$2*Q$6*Discounting!D35</f>
        <v>23071.135043389193</v>
      </c>
      <c r="R34" s="44">
        <f>L34*$C$2*R$6*Discounting!D35</f>
        <v>980.92553412639074</v>
      </c>
      <c r="S34" s="44">
        <f>M34*$C$2*S$6*Discounting!D35</f>
        <v>12939.321178220542</v>
      </c>
      <c r="T34" s="45">
        <f t="shared" si="1"/>
        <v>37946.488430577519</v>
      </c>
      <c r="U34" s="45">
        <f t="shared" si="3"/>
        <v>37946.488430577519</v>
      </c>
      <c r="V34" s="45">
        <f t="shared" si="2"/>
        <v>17083.093796179619</v>
      </c>
      <c r="W34" s="46">
        <f>$U34*Discounting!C35</f>
        <v>6106.7423208936034</v>
      </c>
      <c r="Y34" s="81"/>
      <c r="Z34" s="81"/>
      <c r="AA34" s="81"/>
      <c r="AB34" s="81"/>
      <c r="AC34" s="18"/>
    </row>
    <row r="35" spans="2:31" x14ac:dyDescent="0.25">
      <c r="B35">
        <f>'Truck Diversion Impacts'!D33</f>
        <v>2045</v>
      </c>
      <c r="C35" s="29">
        <f>'Truck Diversion Impacts'!G33</f>
        <v>1121875</v>
      </c>
      <c r="D35" s="42">
        <v>0.38507437943575679</v>
      </c>
      <c r="E35" s="42">
        <v>2.2320574843397618</v>
      </c>
      <c r="F35" s="42">
        <f t="shared" si="4"/>
        <v>1.6232978325580599E-2</v>
      </c>
      <c r="G35" s="42">
        <v>2.7171924294897488E-2</v>
      </c>
      <c r="H35" s="42">
        <v>1353.18819149556</v>
      </c>
      <c r="I35" s="42"/>
      <c r="J35" s="43">
        <f t="shared" si="0"/>
        <v>432005.31942948967</v>
      </c>
      <c r="K35" s="43">
        <f t="shared" si="0"/>
        <v>2504089.4902436701</v>
      </c>
      <c r="L35" s="43">
        <f t="shared" si="0"/>
        <v>18211.372559010735</v>
      </c>
      <c r="M35" s="43">
        <f t="shared" si="0"/>
        <v>30483.502568338121</v>
      </c>
      <c r="N35" s="43">
        <f t="shared" si="0"/>
        <v>1518108002.3340814</v>
      </c>
      <c r="O35" s="43"/>
      <c r="P35" s="44">
        <f>J35*$C$2*P$6*Discounting!D36</f>
        <v>951.70771870316571</v>
      </c>
      <c r="Q35" s="44">
        <f>K35*$C$2*Q$6*Discounting!D36</f>
        <v>22893.512960078242</v>
      </c>
      <c r="R35" s="44">
        <f>L35*$C$2*R$6*Discounting!D36</f>
        <v>980.92553412639074</v>
      </c>
      <c r="S35" s="44">
        <f>M35*$C$2*S$6*Discounting!D36</f>
        <v>12685.608998255433</v>
      </c>
      <c r="T35" s="45">
        <f t="shared" si="1"/>
        <v>37511.755211163232</v>
      </c>
      <c r="U35" s="45">
        <f t="shared" si="3"/>
        <v>37511.755211163232</v>
      </c>
      <c r="V35" s="45">
        <f t="shared" si="2"/>
        <v>16395.516173419019</v>
      </c>
      <c r="W35" s="46">
        <f>$U35*Discounting!C36</f>
        <v>5641.8509759024055</v>
      </c>
      <c r="Y35" s="81"/>
      <c r="Z35" s="81"/>
      <c r="AA35" s="81"/>
      <c r="AB35" s="81"/>
      <c r="AC35" s="18"/>
      <c r="AE35" s="31"/>
    </row>
    <row r="36" spans="2:31" x14ac:dyDescent="0.25">
      <c r="B36">
        <f>'Truck Diversion Impacts'!D34</f>
        <v>2046</v>
      </c>
      <c r="C36" s="29">
        <f>'Truck Diversion Impacts'!G34</f>
        <v>1121875</v>
      </c>
      <c r="D36" s="31">
        <f>D35</f>
        <v>0.38507437943575679</v>
      </c>
      <c r="E36" s="31">
        <f t="shared" ref="E36" si="5">E35</f>
        <v>2.2320574843397618</v>
      </c>
      <c r="F36" s="31">
        <f t="shared" si="4"/>
        <v>1.6232978325580599E-2</v>
      </c>
      <c r="G36" s="31">
        <f t="shared" si="4"/>
        <v>2.7171924294897488E-2</v>
      </c>
      <c r="H36" s="31">
        <f t="shared" si="4"/>
        <v>1353.18819149556</v>
      </c>
      <c r="J36" s="43">
        <f t="shared" ref="J36:J41" si="6">$C36*D36</f>
        <v>432005.31942948967</v>
      </c>
      <c r="K36" s="43">
        <f t="shared" ref="K36:K41" si="7">$C36*E36</f>
        <v>2504089.4902436701</v>
      </c>
      <c r="L36" s="43">
        <f t="shared" ref="L36:L41" si="8">$C36*F36</f>
        <v>18211.372559010735</v>
      </c>
      <c r="M36" s="43">
        <f t="shared" ref="M36:M41" si="9">$C36*G36</f>
        <v>30483.502568338121</v>
      </c>
      <c r="N36" s="43">
        <f t="shared" ref="N36:N41" si="10">$C36*H36</f>
        <v>1518108002.3340814</v>
      </c>
      <c r="O36" s="43"/>
      <c r="P36" s="44">
        <f>J36*$C$2*P$6*Discounting!D37</f>
        <v>951.70771870316571</v>
      </c>
      <c r="Q36" s="44">
        <f>K36*$C$2*Q$6*Discounting!D37</f>
        <v>22893.512960078242</v>
      </c>
      <c r="R36" s="44">
        <f>L36*$C$2*R$6*Discounting!D37</f>
        <v>980.92553412639074</v>
      </c>
      <c r="S36" s="44">
        <f>M36*$C$2*S$6*Discounting!D37</f>
        <v>12685.608998255433</v>
      </c>
      <c r="T36" s="45">
        <f t="shared" ref="T36:T41" si="11">SUM(P36:S36)</f>
        <v>37511.755211163232</v>
      </c>
      <c r="U36" s="45">
        <f t="shared" si="3"/>
        <v>37511.755211163232</v>
      </c>
      <c r="V36" s="45">
        <f t="shared" si="2"/>
        <v>15917.976867397107</v>
      </c>
      <c r="W36" s="46">
        <f>$U36*Discounting!C37</f>
        <v>5272.757921404117</v>
      </c>
      <c r="Y36" s="81"/>
      <c r="Z36" s="81"/>
      <c r="AA36" s="81"/>
      <c r="AB36" s="81"/>
      <c r="AC36" s="18"/>
      <c r="AE36" s="31"/>
    </row>
    <row r="37" spans="2:31" x14ac:dyDescent="0.25">
      <c r="B37">
        <f>'Truck Diversion Impacts'!D35</f>
        <v>2047</v>
      </c>
      <c r="C37" s="29">
        <f>'Truck Diversion Impacts'!G35</f>
        <v>1121875</v>
      </c>
      <c r="D37" s="31">
        <f t="shared" ref="D37:D41" si="12">D36</f>
        <v>0.38507437943575679</v>
      </c>
      <c r="E37" s="31">
        <f t="shared" ref="E37:H41" si="13">E36</f>
        <v>2.2320574843397618</v>
      </c>
      <c r="F37" s="31">
        <f t="shared" si="13"/>
        <v>1.6232978325580599E-2</v>
      </c>
      <c r="G37" s="31">
        <f t="shared" si="13"/>
        <v>2.7171924294897488E-2</v>
      </c>
      <c r="H37" s="31">
        <f t="shared" si="13"/>
        <v>1353.18819149556</v>
      </c>
      <c r="J37" s="43">
        <f t="shared" si="6"/>
        <v>432005.31942948967</v>
      </c>
      <c r="K37" s="43">
        <f t="shared" si="7"/>
        <v>2504089.4902436701</v>
      </c>
      <c r="L37" s="43">
        <f t="shared" si="8"/>
        <v>18211.372559010735</v>
      </c>
      <c r="M37" s="43">
        <f t="shared" si="9"/>
        <v>30483.502568338121</v>
      </c>
      <c r="N37" s="43">
        <f t="shared" si="10"/>
        <v>1518108002.3340814</v>
      </c>
      <c r="O37" s="43"/>
      <c r="P37" s="44">
        <f>J37*$C$2*P$6*Discounting!D38</f>
        <v>951.70771870316571</v>
      </c>
      <c r="Q37" s="44">
        <f>K37*$C$2*Q$6*Discounting!D38</f>
        <v>22893.512960078242</v>
      </c>
      <c r="R37" s="44">
        <f>L37*$C$2*R$6*Discounting!D38</f>
        <v>980.92553412639074</v>
      </c>
      <c r="S37" s="44">
        <f>M37*$C$2*S$6*Discounting!D38</f>
        <v>12685.608998255433</v>
      </c>
      <c r="T37" s="45">
        <f t="shared" si="11"/>
        <v>37511.755211163232</v>
      </c>
      <c r="U37" s="45">
        <f t="shared" si="3"/>
        <v>37511.755211163232</v>
      </c>
      <c r="V37" s="45">
        <f t="shared" si="2"/>
        <v>15454.346473201074</v>
      </c>
      <c r="W37" s="46">
        <f>$U37*Discounting!C38</f>
        <v>4927.8111414991754</v>
      </c>
      <c r="Y37" s="81"/>
      <c r="Z37" s="81"/>
      <c r="AA37" s="81"/>
      <c r="AB37" s="81"/>
      <c r="AC37" s="18"/>
      <c r="AE37" s="31"/>
    </row>
    <row r="38" spans="2:31" x14ac:dyDescent="0.25">
      <c r="B38">
        <f>'Truck Diversion Impacts'!D36</f>
        <v>2048</v>
      </c>
      <c r="C38" s="29">
        <f>'Truck Diversion Impacts'!G36</f>
        <v>1121875</v>
      </c>
      <c r="D38" s="31">
        <f t="shared" si="12"/>
        <v>0.38507437943575679</v>
      </c>
      <c r="E38" s="31">
        <f t="shared" si="13"/>
        <v>2.2320574843397618</v>
      </c>
      <c r="F38" s="31">
        <f t="shared" si="13"/>
        <v>1.6232978325580599E-2</v>
      </c>
      <c r="G38" s="31">
        <f t="shared" si="13"/>
        <v>2.7171924294897488E-2</v>
      </c>
      <c r="H38" s="31">
        <f t="shared" si="13"/>
        <v>1353.18819149556</v>
      </c>
      <c r="J38" s="43">
        <f t="shared" si="6"/>
        <v>432005.31942948967</v>
      </c>
      <c r="K38" s="43">
        <f t="shared" si="7"/>
        <v>2504089.4902436701</v>
      </c>
      <c r="L38" s="43">
        <f t="shared" si="8"/>
        <v>18211.372559010735</v>
      </c>
      <c r="M38" s="43">
        <f t="shared" si="9"/>
        <v>30483.502568338121</v>
      </c>
      <c r="N38" s="43">
        <f t="shared" si="10"/>
        <v>1518108002.3340814</v>
      </c>
      <c r="O38" s="43"/>
      <c r="P38" s="44">
        <f>J38*$C$2*P$6*Discounting!D39</f>
        <v>0</v>
      </c>
      <c r="Q38" s="44">
        <f>K38*$C$2*Q$6*Discounting!D39</f>
        <v>0</v>
      </c>
      <c r="R38" s="44">
        <f>L38*$C$2*R$6*Discounting!D39</f>
        <v>0</v>
      </c>
      <c r="S38" s="44">
        <f>M38*$C$2*S$6*Discounting!D39</f>
        <v>0</v>
      </c>
      <c r="T38" s="45">
        <f t="shared" si="11"/>
        <v>0</v>
      </c>
      <c r="U38" s="45">
        <f t="shared" si="3"/>
        <v>0</v>
      </c>
      <c r="V38" s="45">
        <f t="shared" si="2"/>
        <v>0</v>
      </c>
      <c r="W38" s="46">
        <f>$U38*Discounting!C39</f>
        <v>0</v>
      </c>
      <c r="Y38" s="81"/>
      <c r="Z38" s="81"/>
      <c r="AA38" s="81"/>
      <c r="AB38" s="81"/>
      <c r="AC38" s="18"/>
      <c r="AE38" s="31"/>
    </row>
    <row r="39" spans="2:31" x14ac:dyDescent="0.25">
      <c r="B39">
        <f>'Truck Diversion Impacts'!D37</f>
        <v>2049</v>
      </c>
      <c r="C39" s="29">
        <f>'Truck Diversion Impacts'!G37</f>
        <v>1121875</v>
      </c>
      <c r="D39" s="31">
        <f t="shared" si="12"/>
        <v>0.38507437943575679</v>
      </c>
      <c r="E39" s="31">
        <f t="shared" si="13"/>
        <v>2.2320574843397618</v>
      </c>
      <c r="F39" s="31">
        <f t="shared" si="13"/>
        <v>1.6232978325580599E-2</v>
      </c>
      <c r="G39" s="31">
        <f t="shared" si="13"/>
        <v>2.7171924294897488E-2</v>
      </c>
      <c r="H39" s="31">
        <f t="shared" si="13"/>
        <v>1353.18819149556</v>
      </c>
      <c r="J39" s="43">
        <f t="shared" si="6"/>
        <v>432005.31942948967</v>
      </c>
      <c r="K39" s="43">
        <f t="shared" si="7"/>
        <v>2504089.4902436701</v>
      </c>
      <c r="L39" s="43">
        <f t="shared" si="8"/>
        <v>18211.372559010735</v>
      </c>
      <c r="M39" s="43">
        <f t="shared" si="9"/>
        <v>30483.502568338121</v>
      </c>
      <c r="N39" s="43">
        <f t="shared" si="10"/>
        <v>1518108002.3340814</v>
      </c>
      <c r="O39" s="43"/>
      <c r="P39" s="44">
        <f>J39*$C$2*P$6*Discounting!D40</f>
        <v>0</v>
      </c>
      <c r="Q39" s="44">
        <f>K39*$C$2*Q$6*Discounting!D40</f>
        <v>0</v>
      </c>
      <c r="R39" s="44">
        <f>L39*$C$2*R$6*Discounting!D40</f>
        <v>0</v>
      </c>
      <c r="S39" s="44">
        <f>M39*$C$2*S$6*Discounting!D40</f>
        <v>0</v>
      </c>
      <c r="T39" s="45">
        <f t="shared" si="11"/>
        <v>0</v>
      </c>
      <c r="U39" s="45">
        <f t="shared" si="3"/>
        <v>0</v>
      </c>
      <c r="V39" s="45">
        <f t="shared" si="2"/>
        <v>0</v>
      </c>
      <c r="W39" s="46">
        <f>$U39*Discounting!C40</f>
        <v>0</v>
      </c>
      <c r="Y39" s="81"/>
      <c r="Z39" s="81"/>
      <c r="AA39" s="81"/>
      <c r="AB39" s="81"/>
      <c r="AC39" s="18"/>
      <c r="AE39" s="31"/>
    </row>
    <row r="40" spans="2:31" x14ac:dyDescent="0.25">
      <c r="B40">
        <f>'Truck Diversion Impacts'!D38</f>
        <v>2050</v>
      </c>
      <c r="C40" s="29">
        <f>'Truck Diversion Impacts'!G38</f>
        <v>1121875</v>
      </c>
      <c r="D40" s="31">
        <f t="shared" si="12"/>
        <v>0.38507437943575679</v>
      </c>
      <c r="E40" s="31">
        <f t="shared" si="13"/>
        <v>2.2320574843397618</v>
      </c>
      <c r="F40" s="31">
        <f t="shared" si="13"/>
        <v>1.6232978325580599E-2</v>
      </c>
      <c r="G40" s="31">
        <f t="shared" si="13"/>
        <v>2.7171924294897488E-2</v>
      </c>
      <c r="H40" s="31">
        <f t="shared" si="13"/>
        <v>1353.18819149556</v>
      </c>
      <c r="J40" s="43">
        <f t="shared" si="6"/>
        <v>432005.31942948967</v>
      </c>
      <c r="K40" s="43">
        <f t="shared" si="7"/>
        <v>2504089.4902436701</v>
      </c>
      <c r="L40" s="43">
        <f t="shared" si="8"/>
        <v>18211.372559010735</v>
      </c>
      <c r="M40" s="43">
        <f t="shared" si="9"/>
        <v>30483.502568338121</v>
      </c>
      <c r="N40" s="43">
        <f t="shared" si="10"/>
        <v>1518108002.3340814</v>
      </c>
      <c r="O40" s="43"/>
      <c r="P40" s="44">
        <f>J40*$C$2*P$6*Discounting!D41</f>
        <v>0</v>
      </c>
      <c r="Q40" s="44">
        <f>K40*$C$2*Q$6*Discounting!D41</f>
        <v>0</v>
      </c>
      <c r="R40" s="44">
        <f>L40*$C$2*R$6*Discounting!D41</f>
        <v>0</v>
      </c>
      <c r="S40" s="44">
        <f>M40*$C$2*S$6*Discounting!D41</f>
        <v>0</v>
      </c>
      <c r="T40" s="45">
        <f t="shared" si="11"/>
        <v>0</v>
      </c>
      <c r="U40" s="45">
        <f t="shared" si="3"/>
        <v>0</v>
      </c>
      <c r="V40" s="45">
        <f t="shared" si="2"/>
        <v>0</v>
      </c>
      <c r="W40" s="46">
        <f>$U40*Discounting!C41</f>
        <v>0</v>
      </c>
      <c r="Y40" s="81"/>
      <c r="Z40" s="81"/>
      <c r="AA40" s="81"/>
      <c r="AB40" s="81"/>
      <c r="AC40" s="18"/>
    </row>
    <row r="41" spans="2:31" x14ac:dyDescent="0.25">
      <c r="B41">
        <f>'Truck Diversion Impacts'!D39</f>
        <v>2051</v>
      </c>
      <c r="C41" s="29">
        <f>'Truck Diversion Impacts'!G39</f>
        <v>1121875</v>
      </c>
      <c r="D41" s="31">
        <f t="shared" si="12"/>
        <v>0.38507437943575679</v>
      </c>
      <c r="E41" s="31">
        <f t="shared" si="13"/>
        <v>2.2320574843397618</v>
      </c>
      <c r="F41" s="31">
        <f t="shared" si="13"/>
        <v>1.6232978325580599E-2</v>
      </c>
      <c r="G41" s="31">
        <f t="shared" si="13"/>
        <v>2.7171924294897488E-2</v>
      </c>
      <c r="H41" s="31">
        <f t="shared" si="13"/>
        <v>1353.18819149556</v>
      </c>
      <c r="J41" s="43">
        <f t="shared" si="6"/>
        <v>432005.31942948967</v>
      </c>
      <c r="K41" s="43">
        <f t="shared" si="7"/>
        <v>2504089.4902436701</v>
      </c>
      <c r="L41" s="43">
        <f t="shared" si="8"/>
        <v>18211.372559010735</v>
      </c>
      <c r="M41" s="43">
        <f t="shared" si="9"/>
        <v>30483.502568338121</v>
      </c>
      <c r="N41" s="43">
        <f t="shared" si="10"/>
        <v>1518108002.3340814</v>
      </c>
      <c r="O41" s="43"/>
      <c r="P41" s="44">
        <f>J41*$C$2*P$6*Discounting!D42</f>
        <v>0</v>
      </c>
      <c r="Q41" s="44">
        <f>K41*$C$2*Q$6*Discounting!D42</f>
        <v>0</v>
      </c>
      <c r="R41" s="44">
        <f>L41*$C$2*R$6*Discounting!D42</f>
        <v>0</v>
      </c>
      <c r="S41" s="44">
        <f>M41*$C$2*S$6*Discounting!D42</f>
        <v>0</v>
      </c>
      <c r="T41" s="45">
        <f t="shared" si="11"/>
        <v>0</v>
      </c>
      <c r="U41" s="45">
        <f t="shared" si="3"/>
        <v>0</v>
      </c>
      <c r="V41" s="45">
        <f t="shared" si="2"/>
        <v>0</v>
      </c>
      <c r="W41" s="46">
        <f>$U41*Discounting!C42</f>
        <v>0</v>
      </c>
      <c r="Y41" s="81"/>
      <c r="Z41" s="81"/>
      <c r="AA41" s="81"/>
      <c r="AB41" s="81"/>
      <c r="AC41" s="18"/>
    </row>
    <row r="42" spans="2:31" ht="15.75" thickBot="1" x14ac:dyDescent="0.3">
      <c r="D42" s="49"/>
      <c r="E42" s="49"/>
      <c r="F42" s="49"/>
      <c r="G42" s="49"/>
      <c r="H42" s="49"/>
      <c r="I42" s="49">
        <f>SUM(I11:I35)</f>
        <v>0</v>
      </c>
      <c r="J42" s="49">
        <f>SUM(J11:J41)</f>
        <v>12954286.690262157</v>
      </c>
      <c r="K42" s="49">
        <f>SUM(K11:K41)</f>
        <v>81408267.724848539</v>
      </c>
      <c r="L42" s="49">
        <f>SUM(L11:L41)</f>
        <v>500430.80752847606</v>
      </c>
      <c r="M42" s="49">
        <f>SUM(M11:M41)</f>
        <v>1439914.2856366767</v>
      </c>
      <c r="N42" s="49">
        <f>SUM(N11:N41)</f>
        <v>43319790557.799965</v>
      </c>
      <c r="O42" s="49">
        <f>SUM(O11:O35)</f>
        <v>0</v>
      </c>
      <c r="P42" s="50">
        <f t="shared" ref="P42:V42" si="14">SUM(P11:P41)</f>
        <v>24390.752571145735</v>
      </c>
      <c r="Q42" s="50">
        <f t="shared" si="14"/>
        <v>641403.05754156655</v>
      </c>
      <c r="R42" s="50">
        <f t="shared" si="14"/>
        <v>22807.564259262992</v>
      </c>
      <c r="S42" s="50">
        <f t="shared" si="14"/>
        <v>532388.39727582759</v>
      </c>
      <c r="T42" s="50">
        <f t="shared" si="14"/>
        <v>1220989.7716478035</v>
      </c>
      <c r="U42" s="51">
        <f t="shared" si="14"/>
        <v>1220989.7716478035</v>
      </c>
      <c r="V42" s="51">
        <f t="shared" si="14"/>
        <v>760616.67069811758</v>
      </c>
      <c r="W42" s="51">
        <f>SUM(W7:W41)</f>
        <v>436650.55728863797</v>
      </c>
      <c r="Y42" s="81"/>
      <c r="Z42" s="81"/>
      <c r="AA42" s="81"/>
      <c r="AB42" s="81"/>
      <c r="AC42" s="81"/>
      <c r="AD42" s="81"/>
    </row>
    <row r="44" spans="2:31" x14ac:dyDescent="0.25">
      <c r="J44" s="31"/>
      <c r="K44" s="31"/>
      <c r="L44" s="31"/>
      <c r="M44" s="31"/>
      <c r="N44" s="31"/>
      <c r="U44" s="18"/>
      <c r="W44" s="18"/>
    </row>
    <row r="45" spans="2:31" x14ac:dyDescent="0.25">
      <c r="Q45" s="81"/>
      <c r="R45" s="81"/>
    </row>
    <row r="46" spans="2:31" x14ac:dyDescent="0.25">
      <c r="Q46" s="81"/>
      <c r="R46" s="81"/>
    </row>
    <row r="47" spans="2:31" x14ac:dyDescent="0.25">
      <c r="Q47" s="81"/>
      <c r="R47" s="81"/>
    </row>
    <row r="48" spans="2:31" x14ac:dyDescent="0.25">
      <c r="Q48" s="81"/>
      <c r="R48" s="81"/>
    </row>
  </sheetData>
  <mergeCells count="15">
    <mergeCell ref="U4:W5"/>
    <mergeCell ref="D5:D6"/>
    <mergeCell ref="E5:E6"/>
    <mergeCell ref="M5:M6"/>
    <mergeCell ref="N5:N6"/>
    <mergeCell ref="D4:H4"/>
    <mergeCell ref="J4:N4"/>
    <mergeCell ref="P4:S4"/>
    <mergeCell ref="G5:G6"/>
    <mergeCell ref="H5:H6"/>
    <mergeCell ref="I5:I6"/>
    <mergeCell ref="J5:J6"/>
    <mergeCell ref="K5:K6"/>
    <mergeCell ref="L5:L6"/>
    <mergeCell ref="F5:F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workbookViewId="0">
      <pane ySplit="6" topLeftCell="A7" activePane="bottomLeft" state="frozen"/>
      <selection pane="bottomLeft" activeCell="Q42" sqref="N7:Q42"/>
    </sheetView>
  </sheetViews>
  <sheetFormatPr defaultRowHeight="15" x14ac:dyDescent="0.25"/>
  <cols>
    <col min="3" max="3" width="15" customWidth="1"/>
    <col min="4" max="4" width="18.5703125" bestFit="1" customWidth="1"/>
    <col min="7" max="7" width="11.5703125" bestFit="1" customWidth="1"/>
    <col min="8" max="8" width="10.7109375" customWidth="1"/>
    <col min="9" max="9" width="12.140625" customWidth="1"/>
    <col min="10" max="10" width="12" customWidth="1"/>
    <col min="11" max="11" width="12.85546875" customWidth="1"/>
    <col min="12" max="12" width="12" customWidth="1"/>
    <col min="14" max="14" width="10.85546875" bestFit="1" customWidth="1"/>
    <col min="15" max="15" width="10.5703125" customWidth="1"/>
    <col min="17" max="17" width="12.85546875" customWidth="1"/>
  </cols>
  <sheetData>
    <row r="1" spans="2:17" ht="15.75" thickBot="1" x14ac:dyDescent="0.3"/>
    <row r="2" spans="2:17" ht="16.5" thickTop="1" thickBot="1" x14ac:dyDescent="0.3">
      <c r="B2" s="336" t="s">
        <v>33</v>
      </c>
      <c r="C2" s="339" t="s">
        <v>51</v>
      </c>
      <c r="D2" s="342" t="s">
        <v>53</v>
      </c>
      <c r="E2" s="343"/>
      <c r="F2" s="344"/>
      <c r="G2" s="342" t="s">
        <v>58</v>
      </c>
      <c r="H2" s="343"/>
      <c r="I2" s="344"/>
      <c r="J2" s="345" t="s">
        <v>94</v>
      </c>
      <c r="K2" s="346"/>
      <c r="L2" s="347"/>
    </row>
    <row r="3" spans="2:17" ht="15.75" thickBot="1" x14ac:dyDescent="0.3">
      <c r="B3" s="337"/>
      <c r="C3" s="340"/>
      <c r="D3" s="52" t="s">
        <v>77</v>
      </c>
      <c r="E3" s="52" t="s">
        <v>95</v>
      </c>
      <c r="F3" s="52" t="s">
        <v>96</v>
      </c>
      <c r="G3" s="52" t="s">
        <v>77</v>
      </c>
      <c r="H3" s="52" t="s">
        <v>95</v>
      </c>
      <c r="I3" s="52" t="s">
        <v>96</v>
      </c>
      <c r="J3" s="348"/>
      <c r="K3" s="349"/>
      <c r="L3" s="350"/>
    </row>
    <row r="4" spans="2:17" ht="15.75" thickBot="1" x14ac:dyDescent="0.3">
      <c r="B4" s="337"/>
      <c r="C4" s="340"/>
      <c r="D4" s="53">
        <v>1.79</v>
      </c>
      <c r="E4" s="53">
        <v>43.7</v>
      </c>
      <c r="F4" s="53">
        <v>119.5</v>
      </c>
      <c r="G4" s="53">
        <f>InpC!D15</f>
        <v>9600000</v>
      </c>
      <c r="H4" s="53">
        <f>InpC!D22</f>
        <v>174000</v>
      </c>
      <c r="I4" s="53">
        <f>InpC!D16</f>
        <v>4300</v>
      </c>
      <c r="J4" s="351"/>
      <c r="K4" s="352"/>
      <c r="L4" s="353"/>
    </row>
    <row r="5" spans="2:17" ht="15.75" thickBot="1" x14ac:dyDescent="0.3">
      <c r="B5" s="337"/>
      <c r="C5" s="340"/>
      <c r="D5" s="354" t="s">
        <v>54</v>
      </c>
      <c r="E5" s="354" t="s">
        <v>55</v>
      </c>
      <c r="F5" s="354" t="s">
        <v>56</v>
      </c>
      <c r="G5" s="62"/>
      <c r="H5" s="62"/>
      <c r="I5" s="62"/>
      <c r="J5" s="356" t="s">
        <v>57</v>
      </c>
      <c r="K5" s="358" t="s">
        <v>8</v>
      </c>
      <c r="L5" s="359"/>
    </row>
    <row r="6" spans="2:17" ht="15.75" thickBot="1" x14ac:dyDescent="0.3">
      <c r="B6" s="338"/>
      <c r="C6" s="341"/>
      <c r="D6" s="355"/>
      <c r="E6" s="355"/>
      <c r="F6" s="355"/>
      <c r="G6" s="63"/>
      <c r="H6" s="63"/>
      <c r="I6" s="63"/>
      <c r="J6" s="357"/>
      <c r="K6" s="54">
        <v>0.03</v>
      </c>
      <c r="L6" s="55">
        <v>7.0000000000000007E-2</v>
      </c>
    </row>
    <row r="7" spans="2:17" ht="15.75" thickBot="1" x14ac:dyDescent="0.3">
      <c r="B7" s="65">
        <v>2017</v>
      </c>
      <c r="C7" s="56">
        <f>'Truck Diversion Impacts'!G5</f>
        <v>0</v>
      </c>
      <c r="D7" s="57">
        <f t="shared" ref="D7:D10" si="0">C7*$D$4/100000000</f>
        <v>0</v>
      </c>
      <c r="E7" s="57">
        <f t="shared" ref="E7:E10" si="1">C7*$E$4/100000000</f>
        <v>0</v>
      </c>
      <c r="F7" s="57">
        <f t="shared" ref="F7:F10" si="2">C7*$F$4/100000000</f>
        <v>0</v>
      </c>
      <c r="G7" s="64">
        <f>D7*G$4*Discounting!$D8</f>
        <v>0</v>
      </c>
      <c r="H7" s="64">
        <f>E7*H$4*Discounting!$D8</f>
        <v>0</v>
      </c>
      <c r="I7" s="64">
        <f>F7*I$4*Discounting!$D8</f>
        <v>0</v>
      </c>
      <c r="J7" s="58">
        <f t="shared" ref="J7:J12" si="3">SUM(G7:I7)</f>
        <v>0</v>
      </c>
      <c r="K7" s="58">
        <f t="shared" ref="K7:K12" si="4">J7/(1+$K$6)^(B7-2017)</f>
        <v>0</v>
      </c>
      <c r="L7" s="58">
        <f>J7*Discounting!C8</f>
        <v>0</v>
      </c>
    </row>
    <row r="8" spans="2:17" ht="15.75" thickBot="1" x14ac:dyDescent="0.3">
      <c r="B8" s="65">
        <v>2018</v>
      </c>
      <c r="C8" s="56">
        <f>'Truck Diversion Impacts'!G6</f>
        <v>0</v>
      </c>
      <c r="D8" s="57">
        <f t="shared" si="0"/>
        <v>0</v>
      </c>
      <c r="E8" s="57">
        <f t="shared" si="1"/>
        <v>0</v>
      </c>
      <c r="F8" s="57">
        <f t="shared" si="2"/>
        <v>0</v>
      </c>
      <c r="G8" s="64">
        <f>D8*G$4*Discounting!$D9</f>
        <v>0</v>
      </c>
      <c r="H8" s="64">
        <f>E8*H$4*Discounting!$D9</f>
        <v>0</v>
      </c>
      <c r="I8" s="64">
        <f>F8*I$4*Discounting!$D9</f>
        <v>0</v>
      </c>
      <c r="J8" s="58">
        <f t="shared" si="3"/>
        <v>0</v>
      </c>
      <c r="K8" s="58">
        <f t="shared" si="4"/>
        <v>0</v>
      </c>
      <c r="L8" s="58">
        <f>J8*Discounting!C9</f>
        <v>0</v>
      </c>
    </row>
    <row r="9" spans="2:17" ht="15.75" thickBot="1" x14ac:dyDescent="0.3">
      <c r="B9" s="65">
        <v>2019</v>
      </c>
      <c r="C9" s="56">
        <f>'Truck Diversion Impacts'!G7</f>
        <v>0</v>
      </c>
      <c r="D9" s="57">
        <f t="shared" si="0"/>
        <v>0</v>
      </c>
      <c r="E9" s="57">
        <f t="shared" si="1"/>
        <v>0</v>
      </c>
      <c r="F9" s="57">
        <f t="shared" si="2"/>
        <v>0</v>
      </c>
      <c r="G9" s="64">
        <f>D9*G$4*Discounting!$D10</f>
        <v>0</v>
      </c>
      <c r="H9" s="64">
        <f>E9*H$4*Discounting!$D10</f>
        <v>0</v>
      </c>
      <c r="I9" s="64">
        <f>F9*I$4*Discounting!$D10</f>
        <v>0</v>
      </c>
      <c r="J9" s="58">
        <f t="shared" si="3"/>
        <v>0</v>
      </c>
      <c r="K9" s="58">
        <f t="shared" si="4"/>
        <v>0</v>
      </c>
      <c r="L9" s="58">
        <f>J9*Discounting!C10</f>
        <v>0</v>
      </c>
    </row>
    <row r="10" spans="2:17" ht="15.75" thickBot="1" x14ac:dyDescent="0.3">
      <c r="B10" s="65">
        <v>2020</v>
      </c>
      <c r="C10" s="56">
        <f>'Truck Diversion Impacts'!G8</f>
        <v>0</v>
      </c>
      <c r="D10" s="57">
        <f t="shared" si="0"/>
        <v>0</v>
      </c>
      <c r="E10" s="57">
        <f t="shared" si="1"/>
        <v>0</v>
      </c>
      <c r="F10" s="57">
        <f t="shared" si="2"/>
        <v>0</v>
      </c>
      <c r="G10" s="64">
        <f>D10*G$4*Discounting!$D11</f>
        <v>0</v>
      </c>
      <c r="H10" s="64">
        <f>E10*H$4*Discounting!$D11</f>
        <v>0</v>
      </c>
      <c r="I10" s="64">
        <f>F10*I$4*Discounting!$D11</f>
        <v>0</v>
      </c>
      <c r="J10" s="58">
        <f t="shared" si="3"/>
        <v>0</v>
      </c>
      <c r="K10" s="58">
        <f t="shared" si="4"/>
        <v>0</v>
      </c>
      <c r="L10" s="58">
        <f>J10*Discounting!C11</f>
        <v>0</v>
      </c>
    </row>
    <row r="11" spans="2:17" ht="15.75" thickBot="1" x14ac:dyDescent="0.3">
      <c r="B11" s="65">
        <f>'Truck Diversion Impacts'!D9</f>
        <v>2021</v>
      </c>
      <c r="C11" s="56">
        <f>'Truck Diversion Impacts'!G9</f>
        <v>0</v>
      </c>
      <c r="D11" s="57">
        <f t="shared" ref="D11:D35" si="5">C11*$D$4/100000000</f>
        <v>0</v>
      </c>
      <c r="E11" s="57">
        <f t="shared" ref="E11:E35" si="6">C11*$E$4/100000000</f>
        <v>0</v>
      </c>
      <c r="F11" s="57">
        <f t="shared" ref="F11:F35" si="7">C11*$F$4/100000000</f>
        <v>0</v>
      </c>
      <c r="G11" s="64">
        <f>D11*G$4*Discounting!$D12</f>
        <v>0</v>
      </c>
      <c r="H11" s="64">
        <f>E11*H$4*Discounting!$D12</f>
        <v>0</v>
      </c>
      <c r="I11" s="64">
        <f>F11*I$4*Discounting!$D12</f>
        <v>0</v>
      </c>
      <c r="J11" s="58">
        <f t="shared" si="3"/>
        <v>0</v>
      </c>
      <c r="K11" s="58">
        <f t="shared" si="4"/>
        <v>0</v>
      </c>
      <c r="L11" s="58">
        <f>J11*Discounting!C12</f>
        <v>0</v>
      </c>
    </row>
    <row r="12" spans="2:17" ht="15.75" thickBot="1" x14ac:dyDescent="0.3">
      <c r="B12" s="65">
        <f>'Truck Diversion Impacts'!D10</f>
        <v>2022</v>
      </c>
      <c r="C12" s="56">
        <f>'Truck Diversion Impacts'!G10</f>
        <v>0</v>
      </c>
      <c r="D12" s="57">
        <f t="shared" si="5"/>
        <v>0</v>
      </c>
      <c r="E12" s="57">
        <f t="shared" si="6"/>
        <v>0</v>
      </c>
      <c r="F12" s="57">
        <f t="shared" si="7"/>
        <v>0</v>
      </c>
      <c r="G12" s="64">
        <f>D12*G$4*Discounting!$D13</f>
        <v>0</v>
      </c>
      <c r="H12" s="64">
        <f>E12*H$4*Discounting!$D13</f>
        <v>0</v>
      </c>
      <c r="I12" s="64">
        <f>F12*I$4*Discounting!$D13</f>
        <v>0</v>
      </c>
      <c r="J12" s="58">
        <f t="shared" si="3"/>
        <v>0</v>
      </c>
      <c r="K12" s="58">
        <f t="shared" si="4"/>
        <v>0</v>
      </c>
      <c r="L12" s="58">
        <f>J12*Discounting!C13</f>
        <v>0</v>
      </c>
      <c r="N12" s="23"/>
      <c r="O12" s="23"/>
      <c r="P12" s="23"/>
      <c r="Q12" s="23"/>
    </row>
    <row r="13" spans="2:17" ht="15.75" thickBot="1" x14ac:dyDescent="0.3">
      <c r="B13" s="65">
        <f>'Truck Diversion Impacts'!D11</f>
        <v>2023</v>
      </c>
      <c r="C13" s="56">
        <f>'Truck Diversion Impacts'!G11</f>
        <v>254286.98742331544</v>
      </c>
      <c r="D13" s="57">
        <f t="shared" si="5"/>
        <v>4.5517370748773467E-3</v>
      </c>
      <c r="E13" s="57">
        <f t="shared" si="6"/>
        <v>0.11112341350398885</v>
      </c>
      <c r="F13" s="57">
        <f t="shared" si="7"/>
        <v>0.30387294997086195</v>
      </c>
      <c r="G13" s="64">
        <f>D13*G$4*Discounting!$D14</f>
        <v>0</v>
      </c>
      <c r="H13" s="64">
        <f>E13*H$4*Discounting!$D14</f>
        <v>0</v>
      </c>
      <c r="I13" s="64">
        <f>F13*I$4*Discounting!$D14</f>
        <v>0</v>
      </c>
      <c r="J13" s="58">
        <f>SUM(G13:I13)</f>
        <v>0</v>
      </c>
      <c r="K13" s="58">
        <f t="shared" ref="K13:K35" si="8">J13/(1+$K$6)^(B13-2017)</f>
        <v>0</v>
      </c>
      <c r="L13" s="58">
        <f>J13*Discounting!C14</f>
        <v>0</v>
      </c>
      <c r="N13" s="23"/>
      <c r="O13" s="23"/>
      <c r="P13" s="23"/>
      <c r="Q13" s="23"/>
    </row>
    <row r="14" spans="2:17" ht="15.75" thickBot="1" x14ac:dyDescent="0.3">
      <c r="B14" s="65">
        <f>'Truck Diversion Impacts'!D12</f>
        <v>2024</v>
      </c>
      <c r="C14" s="56">
        <f>'Truck Diversion Impacts'!G12</f>
        <v>521288.32421779667</v>
      </c>
      <c r="D14" s="57">
        <f t="shared" si="5"/>
        <v>9.3310610034985607E-3</v>
      </c>
      <c r="E14" s="57">
        <f t="shared" si="6"/>
        <v>0.22780299768317713</v>
      </c>
      <c r="F14" s="57">
        <f t="shared" si="7"/>
        <v>0.62293954744026703</v>
      </c>
      <c r="G14" s="64">
        <f>D14*G$4*Discounting!$D15</f>
        <v>89578.185633586181</v>
      </c>
      <c r="H14" s="64">
        <f>E14*H$4*Discounting!$D15</f>
        <v>39637.72159687282</v>
      </c>
      <c r="I14" s="64">
        <f>F14*I$4*Discounting!$D15</f>
        <v>2678.6400539931483</v>
      </c>
      <c r="J14" s="58">
        <f t="shared" ref="J14:J41" si="9">SUM(G14:I14)</f>
        <v>131894.54728445216</v>
      </c>
      <c r="K14" s="58">
        <f t="shared" si="8"/>
        <v>107242.33678946264</v>
      </c>
      <c r="L14" s="58">
        <f>J14*Discounting!C15</f>
        <v>82137.295277377576</v>
      </c>
      <c r="N14" s="23"/>
      <c r="O14" s="23"/>
      <c r="P14" s="23"/>
      <c r="Q14" s="23"/>
    </row>
    <row r="15" spans="2:17" ht="15.75" thickBot="1" x14ac:dyDescent="0.3">
      <c r="B15" s="65">
        <f>'Truck Diversion Impacts'!D13</f>
        <v>2025</v>
      </c>
      <c r="C15" s="56">
        <f>'Truck Diversion Impacts'!G13</f>
        <v>801639.7278520019</v>
      </c>
      <c r="D15" s="57">
        <f t="shared" si="5"/>
        <v>1.4349351128550835E-2</v>
      </c>
      <c r="E15" s="57">
        <f t="shared" si="6"/>
        <v>0.35031656107132486</v>
      </c>
      <c r="F15" s="57">
        <f t="shared" si="7"/>
        <v>0.95795947478314225</v>
      </c>
      <c r="G15" s="64">
        <f>D15*G$4*Discounting!$D16</f>
        <v>137753.77083408801</v>
      </c>
      <c r="H15" s="64">
        <f>E15*H$4*Discounting!$D16</f>
        <v>60955.081626410523</v>
      </c>
      <c r="I15" s="64">
        <f>F15*I$4*Discounting!$D16</f>
        <v>4119.2257415675112</v>
      </c>
      <c r="J15" s="58">
        <f t="shared" si="9"/>
        <v>202828.07820206601</v>
      </c>
      <c r="K15" s="58">
        <f t="shared" si="8"/>
        <v>160114.35791086001</v>
      </c>
      <c r="L15" s="58">
        <f>J15*Discounting!C16</f>
        <v>118047.78817503202</v>
      </c>
      <c r="N15" s="23"/>
      <c r="O15" s="23"/>
      <c r="P15" s="23"/>
      <c r="Q15" s="23"/>
    </row>
    <row r="16" spans="2:17" ht="15.75" thickBot="1" x14ac:dyDescent="0.3">
      <c r="B16" s="65">
        <f>'Truck Diversion Impacts'!D14</f>
        <v>2026</v>
      </c>
      <c r="C16" s="56">
        <f>'Truck Diversion Impacts'!G14</f>
        <v>1096008.7016679174</v>
      </c>
      <c r="D16" s="57">
        <f t="shared" si="5"/>
        <v>1.9618555759855723E-2</v>
      </c>
      <c r="E16" s="57">
        <f t="shared" si="6"/>
        <v>0.47895580262887993</v>
      </c>
      <c r="F16" s="57">
        <f t="shared" si="7"/>
        <v>1.3097303984931614</v>
      </c>
      <c r="G16" s="64">
        <f>D16*G$4*Discounting!$D17</f>
        <v>188338.13529461494</v>
      </c>
      <c r="H16" s="64">
        <f>E16*H$4*Discounting!$D17</f>
        <v>83338.30965742511</v>
      </c>
      <c r="I16" s="64">
        <f>F16*I$4*Discounting!$D17</f>
        <v>5631.8407135205944</v>
      </c>
      <c r="J16" s="58">
        <f t="shared" si="9"/>
        <v>277308.28566556063</v>
      </c>
      <c r="K16" s="58">
        <f t="shared" si="8"/>
        <v>212533.71015161203</v>
      </c>
      <c r="L16" s="58">
        <f>J16*Discounting!C17</f>
        <v>150837.33367166246</v>
      </c>
      <c r="N16" s="23"/>
      <c r="O16" s="23"/>
      <c r="P16" s="23"/>
      <c r="Q16" s="23"/>
    </row>
    <row r="17" spans="2:17" ht="15.75" thickBot="1" x14ac:dyDescent="0.3">
      <c r="B17" s="65">
        <f>'Truck Diversion Impacts'!D15</f>
        <v>2027</v>
      </c>
      <c r="C17" s="56">
        <f>'Truck Diversion Impacts'!G15</f>
        <v>1405096.1241746289</v>
      </c>
      <c r="D17" s="57">
        <f t="shared" si="5"/>
        <v>2.5151220622725859E-2</v>
      </c>
      <c r="E17" s="57">
        <f t="shared" si="6"/>
        <v>0.61402700626431284</v>
      </c>
      <c r="F17" s="57">
        <f t="shared" si="7"/>
        <v>1.6790898683886815</v>
      </c>
      <c r="G17" s="64">
        <f>D17*G$4*Discounting!$D18</f>
        <v>241451.71797816825</v>
      </c>
      <c r="H17" s="64">
        <f>E17*H$4*Discounting!$D18</f>
        <v>106840.69908999043</v>
      </c>
      <c r="I17" s="64">
        <f>F17*I$4*Discounting!$D18</f>
        <v>7220.0864340713306</v>
      </c>
      <c r="J17" s="58">
        <f t="shared" si="9"/>
        <v>355512.50350223004</v>
      </c>
      <c r="K17" s="58">
        <f t="shared" si="8"/>
        <v>264534.69052571006</v>
      </c>
      <c r="L17" s="58">
        <f>J17*Discounting!C18</f>
        <v>180724.52950040004</v>
      </c>
      <c r="N17" s="23"/>
      <c r="O17" s="23"/>
      <c r="P17" s="23"/>
      <c r="Q17" s="23"/>
    </row>
    <row r="18" spans="2:17" ht="15.75" thickBot="1" x14ac:dyDescent="0.3">
      <c r="B18" s="65">
        <f>'Truck Diversion Impacts'!D16</f>
        <v>2028</v>
      </c>
      <c r="C18" s="56">
        <f>'Truck Diversion Impacts'!G16</f>
        <v>1729637.9178066754</v>
      </c>
      <c r="D18" s="57">
        <f t="shared" si="5"/>
        <v>3.0960518728739488E-2</v>
      </c>
      <c r="E18" s="57">
        <f t="shared" si="6"/>
        <v>0.75585177008151727</v>
      </c>
      <c r="F18" s="57">
        <f t="shared" si="7"/>
        <v>2.0669173117789774</v>
      </c>
      <c r="G18" s="64">
        <f>D18*G$4*Discounting!$D19</f>
        <v>297220.97979589907</v>
      </c>
      <c r="H18" s="64">
        <f>E18*H$4*Discounting!$D19</f>
        <v>131518.20799418399</v>
      </c>
      <c r="I18" s="64">
        <f>F18*I$4*Discounting!$D19</f>
        <v>8887.7444406496033</v>
      </c>
      <c r="J18" s="58">
        <f t="shared" si="9"/>
        <v>437626.93223073264</v>
      </c>
      <c r="K18" s="58">
        <f t="shared" si="8"/>
        <v>316151.00705612591</v>
      </c>
      <c r="L18" s="58">
        <f>J18*Discounting!C19</f>
        <v>207913.40300801964</v>
      </c>
      <c r="N18" s="23"/>
      <c r="O18" s="23"/>
      <c r="P18" s="23"/>
      <c r="Q18" s="23"/>
    </row>
    <row r="19" spans="2:17" ht="15.75" thickBot="1" x14ac:dyDescent="0.3">
      <c r="B19" s="65">
        <f>'Truck Diversion Impacts'!D17</f>
        <v>2029</v>
      </c>
      <c r="C19" s="56">
        <f>'Truck Diversion Impacts'!G17</f>
        <v>730745.2586679688</v>
      </c>
      <c r="D19" s="57">
        <f t="shared" si="5"/>
        <v>1.3080340130156642E-2</v>
      </c>
      <c r="E19" s="57">
        <f t="shared" si="6"/>
        <v>0.31933567803790236</v>
      </c>
      <c r="F19" s="57">
        <f t="shared" si="7"/>
        <v>0.87324058410822269</v>
      </c>
      <c r="G19" s="64">
        <f>D19*G$4*Discounting!$D20</f>
        <v>125571.26524950376</v>
      </c>
      <c r="H19" s="64">
        <f>E19*H$4*Discounting!$D20</f>
        <v>55564.407978595009</v>
      </c>
      <c r="I19" s="64">
        <f>F19*I$4*Discounting!$D20</f>
        <v>3754.9345116653576</v>
      </c>
      <c r="J19" s="58">
        <f t="shared" si="9"/>
        <v>184890.60773976415</v>
      </c>
      <c r="K19" s="58">
        <f t="shared" si="8"/>
        <v>129678.55230532179</v>
      </c>
      <c r="L19" s="58">
        <f>J19*Discounting!C20</f>
        <v>82093.64098774294</v>
      </c>
      <c r="N19" s="23"/>
      <c r="O19" s="23"/>
      <c r="P19" s="23"/>
      <c r="Q19" s="23"/>
    </row>
    <row r="20" spans="2:17" ht="15.75" thickBot="1" x14ac:dyDescent="0.3">
      <c r="B20" s="65">
        <f>'Truck Diversion Impacts'!D18</f>
        <v>2030</v>
      </c>
      <c r="C20" s="56">
        <f>'Truck Diversion Impacts'!G18</f>
        <v>857032.52160136728</v>
      </c>
      <c r="D20" s="57">
        <f t="shared" si="5"/>
        <v>1.5340882136664475E-2</v>
      </c>
      <c r="E20" s="57">
        <f t="shared" si="6"/>
        <v>0.37452321193979754</v>
      </c>
      <c r="F20" s="57">
        <f t="shared" si="7"/>
        <v>1.024153863313634</v>
      </c>
      <c r="G20" s="64">
        <f>D20*G$4*Discounting!$D21</f>
        <v>147272.46851197895</v>
      </c>
      <c r="H20" s="64">
        <f>E20*H$4*Discounting!$D21</f>
        <v>65167.03887752477</v>
      </c>
      <c r="I20" s="64">
        <f>F20*I$4*Discounting!$D21</f>
        <v>4403.8616122486264</v>
      </c>
      <c r="J20" s="58">
        <f t="shared" si="9"/>
        <v>216843.36900175232</v>
      </c>
      <c r="K20" s="58">
        <f t="shared" si="8"/>
        <v>147659.78269037837</v>
      </c>
      <c r="L20" s="58">
        <f>J20*Discounting!C21</f>
        <v>89982.288896102575</v>
      </c>
      <c r="N20" s="23"/>
      <c r="O20" s="23"/>
      <c r="P20" s="23"/>
      <c r="Q20" s="23"/>
    </row>
    <row r="21" spans="2:17" ht="15.75" thickBot="1" x14ac:dyDescent="0.3">
      <c r="B21" s="65">
        <f>'Truck Diversion Impacts'!D19</f>
        <v>2031</v>
      </c>
      <c r="C21" s="56">
        <f>'Truck Diversion Impacts'!G19</f>
        <v>989634.1476814358</v>
      </c>
      <c r="D21" s="57">
        <f t="shared" si="5"/>
        <v>1.77144512434977E-2</v>
      </c>
      <c r="E21" s="57">
        <f t="shared" si="6"/>
        <v>0.43247012253678746</v>
      </c>
      <c r="F21" s="57">
        <f t="shared" si="7"/>
        <v>1.1826128064793158</v>
      </c>
      <c r="G21" s="64">
        <f>D21*G$4*Discounting!$D22</f>
        <v>170058.73193757792</v>
      </c>
      <c r="H21" s="64">
        <f>E21*H$4*Discounting!$D22</f>
        <v>75249.801321401013</v>
      </c>
      <c r="I21" s="64">
        <f>F21*I$4*Discounting!$D22</f>
        <v>5085.2350678610574</v>
      </c>
      <c r="J21" s="58">
        <f t="shared" si="9"/>
        <v>250393.76832683999</v>
      </c>
      <c r="K21" s="58">
        <f t="shared" si="8"/>
        <v>165539.77870689612</v>
      </c>
      <c r="L21" s="58">
        <f>J21*Discounting!C22</f>
        <v>97107.020400446316</v>
      </c>
      <c r="N21" s="23"/>
      <c r="O21" s="23"/>
      <c r="P21" s="23"/>
      <c r="Q21" s="23"/>
    </row>
    <row r="22" spans="2:17" ht="15.75" thickBot="1" x14ac:dyDescent="0.3">
      <c r="B22" s="65">
        <f>'Truck Diversion Impacts'!D20</f>
        <v>2032</v>
      </c>
      <c r="C22" s="56">
        <f>'Truck Diversion Impacts'!G20</f>
        <v>1121875</v>
      </c>
      <c r="D22" s="57">
        <f t="shared" si="5"/>
        <v>2.00815625E-2</v>
      </c>
      <c r="E22" s="57">
        <f t="shared" si="6"/>
        <v>0.490259375</v>
      </c>
      <c r="F22" s="57">
        <f t="shared" si="7"/>
        <v>1.340640625</v>
      </c>
      <c r="G22" s="64">
        <f>D22*G$4*Discounting!$D23</f>
        <v>192783</v>
      </c>
      <c r="H22" s="64">
        <f>E22*H$4*Discounting!$D23</f>
        <v>85305.131250000006</v>
      </c>
      <c r="I22" s="64">
        <f>F22*I$4*Discounting!$D23</f>
        <v>5764.7546874999998</v>
      </c>
      <c r="J22" s="58">
        <f t="shared" si="9"/>
        <v>283852.88593749999</v>
      </c>
      <c r="K22" s="58">
        <f t="shared" si="8"/>
        <v>182194.36614202213</v>
      </c>
      <c r="L22" s="58">
        <f>J22*Discounting!C23</f>
        <v>102881.3486720436</v>
      </c>
      <c r="N22" s="23"/>
      <c r="O22" s="23"/>
      <c r="P22" s="23"/>
      <c r="Q22" s="23"/>
    </row>
    <row r="23" spans="2:17" ht="15.75" thickBot="1" x14ac:dyDescent="0.3">
      <c r="B23" s="65">
        <f>'Truck Diversion Impacts'!D21</f>
        <v>2033</v>
      </c>
      <c r="C23" s="56">
        <f>'Truck Diversion Impacts'!G21</f>
        <v>1121875</v>
      </c>
      <c r="D23" s="57">
        <f t="shared" si="5"/>
        <v>2.00815625E-2</v>
      </c>
      <c r="E23" s="57">
        <f t="shared" si="6"/>
        <v>0.490259375</v>
      </c>
      <c r="F23" s="57">
        <f t="shared" si="7"/>
        <v>1.340640625</v>
      </c>
      <c r="G23" s="64">
        <f>D23*G$4*Discounting!$D24</f>
        <v>192783</v>
      </c>
      <c r="H23" s="64">
        <f>E23*H$4*Discounting!$D24</f>
        <v>85305.131250000006</v>
      </c>
      <c r="I23" s="64">
        <f>F23*I$4*Discounting!$D24</f>
        <v>5764.7546874999998</v>
      </c>
      <c r="J23" s="58">
        <f t="shared" si="9"/>
        <v>283852.88593749999</v>
      </c>
      <c r="K23" s="58">
        <f t="shared" si="8"/>
        <v>176887.7341184681</v>
      </c>
      <c r="L23" s="58">
        <f>J23*Discounting!C24</f>
        <v>96150.793151442631</v>
      </c>
      <c r="N23" s="23"/>
      <c r="O23" s="23"/>
      <c r="P23" s="23"/>
      <c r="Q23" s="23"/>
    </row>
    <row r="24" spans="2:17" ht="15.75" thickBot="1" x14ac:dyDescent="0.3">
      <c r="B24" s="65">
        <f>'Truck Diversion Impacts'!D22</f>
        <v>2034</v>
      </c>
      <c r="C24" s="56">
        <f>'Truck Diversion Impacts'!G22</f>
        <v>1121875</v>
      </c>
      <c r="D24" s="57">
        <f t="shared" si="5"/>
        <v>2.00815625E-2</v>
      </c>
      <c r="E24" s="57">
        <f t="shared" si="6"/>
        <v>0.490259375</v>
      </c>
      <c r="F24" s="57">
        <f t="shared" si="7"/>
        <v>1.340640625</v>
      </c>
      <c r="G24" s="64">
        <f>D24*G$4*Discounting!$D25</f>
        <v>192783</v>
      </c>
      <c r="H24" s="64">
        <f>E24*H$4*Discounting!$D25</f>
        <v>85305.131250000006</v>
      </c>
      <c r="I24" s="64">
        <f>F24*I$4*Discounting!$D25</f>
        <v>5764.7546874999998</v>
      </c>
      <c r="J24" s="58">
        <f t="shared" si="9"/>
        <v>283852.88593749999</v>
      </c>
      <c r="K24" s="58">
        <f t="shared" si="8"/>
        <v>171735.66419268749</v>
      </c>
      <c r="L24" s="58">
        <f>J24*Discounting!C25</f>
        <v>89860.55434714265</v>
      </c>
      <c r="N24" s="23"/>
      <c r="O24" s="23"/>
      <c r="P24" s="23"/>
      <c r="Q24" s="23"/>
    </row>
    <row r="25" spans="2:17" ht="15.75" thickBot="1" x14ac:dyDescent="0.3">
      <c r="B25" s="65">
        <f>'Truck Diversion Impacts'!D23</f>
        <v>2035</v>
      </c>
      <c r="C25" s="56">
        <f>'Truck Diversion Impacts'!G23</f>
        <v>1121875</v>
      </c>
      <c r="D25" s="57">
        <f t="shared" si="5"/>
        <v>2.00815625E-2</v>
      </c>
      <c r="E25" s="57">
        <f t="shared" si="6"/>
        <v>0.490259375</v>
      </c>
      <c r="F25" s="57">
        <f t="shared" si="7"/>
        <v>1.340640625</v>
      </c>
      <c r="G25" s="64">
        <f>D25*G$4*Discounting!$D26</f>
        <v>192783</v>
      </c>
      <c r="H25" s="64">
        <f>E25*H$4*Discounting!$D26</f>
        <v>85305.131250000006</v>
      </c>
      <c r="I25" s="64">
        <f>F25*I$4*Discounting!$D26</f>
        <v>5764.7546874999998</v>
      </c>
      <c r="J25" s="58">
        <f t="shared" si="9"/>
        <v>283852.88593749999</v>
      </c>
      <c r="K25" s="58">
        <f t="shared" si="8"/>
        <v>166733.65455600727</v>
      </c>
      <c r="L25" s="58">
        <f>J25*Discounting!C26</f>
        <v>83981.826492656677</v>
      </c>
      <c r="N25" s="23"/>
      <c r="O25" s="23"/>
      <c r="P25" s="23"/>
      <c r="Q25" s="23"/>
    </row>
    <row r="26" spans="2:17" ht="15.75" thickBot="1" x14ac:dyDescent="0.3">
      <c r="B26" s="65">
        <f>'Truck Diversion Impacts'!D24</f>
        <v>2036</v>
      </c>
      <c r="C26" s="56">
        <f>'Truck Diversion Impacts'!G24</f>
        <v>1121875</v>
      </c>
      <c r="D26" s="57">
        <f t="shared" si="5"/>
        <v>2.00815625E-2</v>
      </c>
      <c r="E26" s="57">
        <f t="shared" si="6"/>
        <v>0.490259375</v>
      </c>
      <c r="F26" s="57">
        <f t="shared" si="7"/>
        <v>1.340640625</v>
      </c>
      <c r="G26" s="64">
        <f>D26*G$4*Discounting!$D27</f>
        <v>192783</v>
      </c>
      <c r="H26" s="64">
        <f>E26*H$4*Discounting!$D27</f>
        <v>85305.131250000006</v>
      </c>
      <c r="I26" s="64">
        <f>F26*I$4*Discounting!$D27</f>
        <v>5764.7546874999998</v>
      </c>
      <c r="J26" s="58">
        <f t="shared" si="9"/>
        <v>283852.88593749999</v>
      </c>
      <c r="K26" s="58">
        <f t="shared" si="8"/>
        <v>161877.33452039541</v>
      </c>
      <c r="L26" s="58">
        <f>J26*Discounting!C27</f>
        <v>78487.688310894082</v>
      </c>
      <c r="N26" s="23"/>
      <c r="O26" s="23"/>
      <c r="P26" s="23"/>
      <c r="Q26" s="23"/>
    </row>
    <row r="27" spans="2:17" ht="15.75" thickBot="1" x14ac:dyDescent="0.3">
      <c r="B27" s="65">
        <f>'Truck Diversion Impacts'!D25</f>
        <v>2037</v>
      </c>
      <c r="C27" s="56">
        <f>'Truck Diversion Impacts'!G25</f>
        <v>1121875</v>
      </c>
      <c r="D27" s="57">
        <f t="shared" si="5"/>
        <v>2.00815625E-2</v>
      </c>
      <c r="E27" s="57">
        <f t="shared" si="6"/>
        <v>0.490259375</v>
      </c>
      <c r="F27" s="57">
        <f t="shared" si="7"/>
        <v>1.340640625</v>
      </c>
      <c r="G27" s="64">
        <f>D27*G$4*Discounting!$D28</f>
        <v>192783</v>
      </c>
      <c r="H27" s="64">
        <f>E27*H$4*Discounting!$D28</f>
        <v>85305.131250000006</v>
      </c>
      <c r="I27" s="64">
        <f>F27*I$4*Discounting!$D28</f>
        <v>5764.7546874999998</v>
      </c>
      <c r="J27" s="58">
        <f t="shared" si="9"/>
        <v>283852.88593749999</v>
      </c>
      <c r="K27" s="58">
        <f t="shared" si="8"/>
        <v>157162.46069941303</v>
      </c>
      <c r="L27" s="58">
        <f>J27*Discounting!C28</f>
        <v>73352.979729807557</v>
      </c>
      <c r="N27" s="23"/>
      <c r="O27" s="23"/>
      <c r="P27" s="23"/>
      <c r="Q27" s="23"/>
    </row>
    <row r="28" spans="2:17" ht="15.75" thickBot="1" x14ac:dyDescent="0.3">
      <c r="B28" s="65">
        <f>'Truck Diversion Impacts'!D26</f>
        <v>2038</v>
      </c>
      <c r="C28" s="56">
        <f>'Truck Diversion Impacts'!G26</f>
        <v>1121875</v>
      </c>
      <c r="D28" s="57">
        <f t="shared" si="5"/>
        <v>2.00815625E-2</v>
      </c>
      <c r="E28" s="57">
        <f t="shared" si="6"/>
        <v>0.490259375</v>
      </c>
      <c r="F28" s="57">
        <f t="shared" si="7"/>
        <v>1.340640625</v>
      </c>
      <c r="G28" s="64">
        <f>D28*G$4*Discounting!$D29</f>
        <v>192783</v>
      </c>
      <c r="H28" s="64">
        <f>E28*H$4*Discounting!$D29</f>
        <v>85305.131250000006</v>
      </c>
      <c r="I28" s="64">
        <f>F28*I$4*Discounting!$D29</f>
        <v>5764.7546874999998</v>
      </c>
      <c r="J28" s="58">
        <f t="shared" si="9"/>
        <v>283852.88593749999</v>
      </c>
      <c r="K28" s="58">
        <f t="shared" si="8"/>
        <v>152584.91330040101</v>
      </c>
      <c r="L28" s="58">
        <f>J28*Discounting!C29</f>
        <v>68554.186663371554</v>
      </c>
      <c r="N28" s="23"/>
      <c r="O28" s="23"/>
      <c r="P28" s="23"/>
      <c r="Q28" s="23"/>
    </row>
    <row r="29" spans="2:17" ht="15.75" thickBot="1" x14ac:dyDescent="0.3">
      <c r="B29" s="65">
        <f>'Truck Diversion Impacts'!D27</f>
        <v>2039</v>
      </c>
      <c r="C29" s="56">
        <f>'Truck Diversion Impacts'!G27</f>
        <v>1121875</v>
      </c>
      <c r="D29" s="57">
        <f t="shared" si="5"/>
        <v>2.00815625E-2</v>
      </c>
      <c r="E29" s="57">
        <f t="shared" si="6"/>
        <v>0.490259375</v>
      </c>
      <c r="F29" s="57">
        <f t="shared" si="7"/>
        <v>1.340640625</v>
      </c>
      <c r="G29" s="64">
        <f>D29*G$4*Discounting!$D30</f>
        <v>192783</v>
      </c>
      <c r="H29" s="64">
        <f>E29*H$4*Discounting!$D30</f>
        <v>85305.131250000006</v>
      </c>
      <c r="I29" s="64">
        <f>F29*I$4*Discounting!$D30</f>
        <v>5764.7546874999998</v>
      </c>
      <c r="J29" s="58">
        <f t="shared" si="9"/>
        <v>283852.88593749999</v>
      </c>
      <c r="K29" s="58">
        <f t="shared" si="8"/>
        <v>148140.69252466116</v>
      </c>
      <c r="L29" s="58">
        <f>J29*Discounting!C30</f>
        <v>64069.333330253787</v>
      </c>
      <c r="N29" s="23"/>
      <c r="O29" s="23"/>
      <c r="P29" s="23"/>
      <c r="Q29" s="23"/>
    </row>
    <row r="30" spans="2:17" ht="15.75" thickBot="1" x14ac:dyDescent="0.3">
      <c r="B30" s="65">
        <f>'Truck Diversion Impacts'!D28</f>
        <v>2040</v>
      </c>
      <c r="C30" s="56">
        <f>'Truck Diversion Impacts'!G28</f>
        <v>1121875</v>
      </c>
      <c r="D30" s="57">
        <f t="shared" si="5"/>
        <v>2.00815625E-2</v>
      </c>
      <c r="E30" s="57">
        <f t="shared" si="6"/>
        <v>0.490259375</v>
      </c>
      <c r="F30" s="57">
        <f t="shared" si="7"/>
        <v>1.340640625</v>
      </c>
      <c r="G30" s="64">
        <f>D30*G$4*Discounting!$D31</f>
        <v>192783</v>
      </c>
      <c r="H30" s="64">
        <f>E30*H$4*Discounting!$D31</f>
        <v>85305.131250000006</v>
      </c>
      <c r="I30" s="64">
        <f>F30*I$4*Discounting!$D31</f>
        <v>5764.7546874999998</v>
      </c>
      <c r="J30" s="58">
        <f t="shared" si="9"/>
        <v>283852.88593749999</v>
      </c>
      <c r="K30" s="58">
        <f t="shared" si="8"/>
        <v>143825.91507248656</v>
      </c>
      <c r="L30" s="58">
        <f>J30*Discounting!C31</f>
        <v>59877.881617059611</v>
      </c>
      <c r="N30" s="23"/>
      <c r="O30" s="23"/>
      <c r="P30" s="23"/>
      <c r="Q30" s="23"/>
    </row>
    <row r="31" spans="2:17" ht="15.75" thickBot="1" x14ac:dyDescent="0.3">
      <c r="B31" s="65">
        <f>'Truck Diversion Impacts'!D29</f>
        <v>2041</v>
      </c>
      <c r="C31" s="56">
        <f>'Truck Diversion Impacts'!G29</f>
        <v>1121875</v>
      </c>
      <c r="D31" s="57">
        <f t="shared" si="5"/>
        <v>2.00815625E-2</v>
      </c>
      <c r="E31" s="57">
        <f t="shared" si="6"/>
        <v>0.490259375</v>
      </c>
      <c r="F31" s="57">
        <f t="shared" si="7"/>
        <v>1.340640625</v>
      </c>
      <c r="G31" s="64">
        <f>D31*G$4*Discounting!$D32</f>
        <v>192783</v>
      </c>
      <c r="H31" s="64">
        <f>E31*H$4*Discounting!$D32</f>
        <v>85305.131250000006</v>
      </c>
      <c r="I31" s="64">
        <f>F31*I$4*Discounting!$D32</f>
        <v>5764.7546874999998</v>
      </c>
      <c r="J31" s="58">
        <f t="shared" si="9"/>
        <v>283852.88593749999</v>
      </c>
      <c r="K31" s="58">
        <f t="shared" si="8"/>
        <v>139636.81074998697</v>
      </c>
      <c r="L31" s="58">
        <f>J31*Discounting!C32</f>
        <v>55960.637025289354</v>
      </c>
      <c r="N31" s="23"/>
      <c r="O31" s="23"/>
      <c r="P31" s="23"/>
      <c r="Q31" s="23"/>
    </row>
    <row r="32" spans="2:17" ht="15.75" thickBot="1" x14ac:dyDescent="0.3">
      <c r="B32" s="65">
        <f>'Truck Diversion Impacts'!D30</f>
        <v>2042</v>
      </c>
      <c r="C32" s="56">
        <f>'Truck Diversion Impacts'!G30</f>
        <v>1121875</v>
      </c>
      <c r="D32" s="57">
        <f t="shared" si="5"/>
        <v>2.00815625E-2</v>
      </c>
      <c r="E32" s="57">
        <f t="shared" si="6"/>
        <v>0.490259375</v>
      </c>
      <c r="F32" s="57">
        <f t="shared" si="7"/>
        <v>1.340640625</v>
      </c>
      <c r="G32" s="64">
        <f>D32*G$4*Discounting!$D33</f>
        <v>192783</v>
      </c>
      <c r="H32" s="64">
        <f>E32*H$4*Discounting!$D33</f>
        <v>85305.131250000006</v>
      </c>
      <c r="I32" s="64">
        <f>F32*I$4*Discounting!$D33</f>
        <v>5764.7546874999998</v>
      </c>
      <c r="J32" s="58">
        <f t="shared" si="9"/>
        <v>283852.88593749999</v>
      </c>
      <c r="K32" s="58">
        <f t="shared" si="8"/>
        <v>135569.71917474462</v>
      </c>
      <c r="L32" s="58">
        <f>J32*Discounting!C33</f>
        <v>52299.660771298455</v>
      </c>
      <c r="N32" s="23"/>
      <c r="O32" s="23"/>
      <c r="P32" s="23"/>
      <c r="Q32" s="23"/>
    </row>
    <row r="33" spans="2:17" ht="15.75" thickBot="1" x14ac:dyDescent="0.3">
      <c r="B33" s="65">
        <f>'Truck Diversion Impacts'!D31</f>
        <v>2043</v>
      </c>
      <c r="C33" s="56">
        <f>'Truck Diversion Impacts'!G31</f>
        <v>1121875</v>
      </c>
      <c r="D33" s="57">
        <f t="shared" si="5"/>
        <v>2.00815625E-2</v>
      </c>
      <c r="E33" s="57">
        <f t="shared" si="6"/>
        <v>0.490259375</v>
      </c>
      <c r="F33" s="57">
        <f t="shared" si="7"/>
        <v>1.340640625</v>
      </c>
      <c r="G33" s="64">
        <f>D33*G$4*Discounting!$D34</f>
        <v>192783</v>
      </c>
      <c r="H33" s="64">
        <f>E33*H$4*Discounting!$D34</f>
        <v>85305.131250000006</v>
      </c>
      <c r="I33" s="64">
        <f>F33*I$4*Discounting!$D34</f>
        <v>5764.7546874999998</v>
      </c>
      <c r="J33" s="58">
        <f t="shared" si="9"/>
        <v>283852.88593749999</v>
      </c>
      <c r="K33" s="58">
        <f t="shared" si="8"/>
        <v>131621.08657742196</v>
      </c>
      <c r="L33" s="58">
        <f>J33*Discounting!C34</f>
        <v>48878.18763672754</v>
      </c>
      <c r="N33" s="23"/>
      <c r="O33" s="23"/>
      <c r="P33" s="23"/>
      <c r="Q33" s="23"/>
    </row>
    <row r="34" spans="2:17" ht="15.75" thickBot="1" x14ac:dyDescent="0.3">
      <c r="B34" s="65">
        <f>'Truck Diversion Impacts'!D32</f>
        <v>2044</v>
      </c>
      <c r="C34" s="56">
        <f>'Truck Diversion Impacts'!G32</f>
        <v>1121875</v>
      </c>
      <c r="D34" s="57">
        <f t="shared" si="5"/>
        <v>2.00815625E-2</v>
      </c>
      <c r="E34" s="57">
        <f t="shared" si="6"/>
        <v>0.490259375</v>
      </c>
      <c r="F34" s="57">
        <f t="shared" si="7"/>
        <v>1.340640625</v>
      </c>
      <c r="G34" s="64">
        <f>D34*G$4*Discounting!$D35</f>
        <v>192783</v>
      </c>
      <c r="H34" s="64">
        <f>E34*H$4*Discounting!$D35</f>
        <v>85305.131250000006</v>
      </c>
      <c r="I34" s="64">
        <f>F34*I$4*Discounting!$D35</f>
        <v>5764.7546874999998</v>
      </c>
      <c r="J34" s="58">
        <f t="shared" si="9"/>
        <v>283852.88593749999</v>
      </c>
      <c r="K34" s="58">
        <f t="shared" si="8"/>
        <v>127787.46269652619</v>
      </c>
      <c r="L34" s="58">
        <f>J34*Discounting!C35</f>
        <v>45680.549193203296</v>
      </c>
      <c r="N34" s="23"/>
      <c r="O34" s="23"/>
      <c r="P34" s="23"/>
      <c r="Q34" s="23"/>
    </row>
    <row r="35" spans="2:17" ht="15.75" thickBot="1" x14ac:dyDescent="0.3">
      <c r="B35" s="65">
        <f>'Truck Diversion Impacts'!D33</f>
        <v>2045</v>
      </c>
      <c r="C35" s="56">
        <f>'Truck Diversion Impacts'!G33</f>
        <v>1121875</v>
      </c>
      <c r="D35" s="57">
        <f t="shared" si="5"/>
        <v>2.00815625E-2</v>
      </c>
      <c r="E35" s="57">
        <f t="shared" si="6"/>
        <v>0.490259375</v>
      </c>
      <c r="F35" s="57">
        <f t="shared" si="7"/>
        <v>1.340640625</v>
      </c>
      <c r="G35" s="64">
        <f>D35*G$4*Discounting!$D36</f>
        <v>192783</v>
      </c>
      <c r="H35" s="64">
        <f>E35*H$4*Discounting!$D36</f>
        <v>85305.131250000006</v>
      </c>
      <c r="I35" s="64">
        <f>F35*I$4*Discounting!$D36</f>
        <v>5764.7546874999998</v>
      </c>
      <c r="J35" s="58">
        <f t="shared" si="9"/>
        <v>283852.88593749999</v>
      </c>
      <c r="K35" s="58">
        <f t="shared" si="8"/>
        <v>124065.49776361765</v>
      </c>
      <c r="L35" s="58">
        <f>J35*Discounting!C36</f>
        <v>42692.102049722715</v>
      </c>
      <c r="N35" s="23"/>
      <c r="O35" s="23"/>
      <c r="P35" s="23"/>
      <c r="Q35" s="23"/>
    </row>
    <row r="36" spans="2:17" ht="15.75" thickBot="1" x14ac:dyDescent="0.3">
      <c r="B36" s="65">
        <f>'Truck Diversion Impacts'!D34</f>
        <v>2046</v>
      </c>
      <c r="C36" s="56">
        <f>'Truck Diversion Impacts'!G34</f>
        <v>1121875</v>
      </c>
      <c r="D36" s="57">
        <f t="shared" ref="D36:D41" si="10">C36*$D$4/100000000</f>
        <v>2.00815625E-2</v>
      </c>
      <c r="E36" s="57">
        <f t="shared" ref="E36:E41" si="11">C36*$E$4/100000000</f>
        <v>0.490259375</v>
      </c>
      <c r="F36" s="57">
        <f t="shared" ref="F36:F41" si="12">C36*$F$4/100000000</f>
        <v>1.340640625</v>
      </c>
      <c r="G36" s="64">
        <f>D36*G$4*Discounting!$D37</f>
        <v>192783</v>
      </c>
      <c r="H36" s="64">
        <f>E36*H$4*Discounting!$D37</f>
        <v>85305.131250000006</v>
      </c>
      <c r="I36" s="64">
        <f>F36*I$4*Discounting!$D37</f>
        <v>5764.7546874999998</v>
      </c>
      <c r="J36" s="58">
        <f t="shared" si="9"/>
        <v>283852.88593749999</v>
      </c>
      <c r="K36" s="58">
        <f t="shared" ref="K36:K41" si="13">J36/(1+$K$6)^(B36-2017)</f>
        <v>120451.93957632783</v>
      </c>
      <c r="L36" s="58">
        <f>J36*Discounting!C37</f>
        <v>39899.160794133379</v>
      </c>
      <c r="N36" s="23"/>
      <c r="O36" s="23"/>
      <c r="P36" s="23"/>
      <c r="Q36" s="23"/>
    </row>
    <row r="37" spans="2:17" ht="15.75" thickBot="1" x14ac:dyDescent="0.3">
      <c r="B37" s="65">
        <f>'Truck Diversion Impacts'!D35</f>
        <v>2047</v>
      </c>
      <c r="C37" s="56">
        <f>'Truck Diversion Impacts'!G35</f>
        <v>1121875</v>
      </c>
      <c r="D37" s="57">
        <f t="shared" si="10"/>
        <v>2.00815625E-2</v>
      </c>
      <c r="E37" s="57">
        <f t="shared" si="11"/>
        <v>0.490259375</v>
      </c>
      <c r="F37" s="57">
        <f t="shared" si="12"/>
        <v>1.340640625</v>
      </c>
      <c r="G37" s="64">
        <f>D37*G$4*Discounting!$D38</f>
        <v>192783</v>
      </c>
      <c r="H37" s="64">
        <f>E37*H$4*Discounting!$D38</f>
        <v>85305.131250000006</v>
      </c>
      <c r="I37" s="64">
        <f>F37*I$4*Discounting!$D38</f>
        <v>5764.7546874999998</v>
      </c>
      <c r="J37" s="58">
        <f t="shared" si="9"/>
        <v>283852.88593749999</v>
      </c>
      <c r="K37" s="58">
        <f t="shared" si="13"/>
        <v>116943.63065662896</v>
      </c>
      <c r="L37" s="58">
        <f>J37*Discounting!C38</f>
        <v>37288.935321619982</v>
      </c>
      <c r="N37" s="23"/>
      <c r="O37" s="23"/>
      <c r="P37" s="23"/>
      <c r="Q37" s="23"/>
    </row>
    <row r="38" spans="2:17" ht="15.75" thickBot="1" x14ac:dyDescent="0.3">
      <c r="B38" s="65">
        <f>'Truck Diversion Impacts'!D36</f>
        <v>2048</v>
      </c>
      <c r="C38" s="56">
        <f>'Truck Diversion Impacts'!G36</f>
        <v>1121875</v>
      </c>
      <c r="D38" s="57">
        <f t="shared" si="10"/>
        <v>2.00815625E-2</v>
      </c>
      <c r="E38" s="57">
        <f t="shared" si="11"/>
        <v>0.490259375</v>
      </c>
      <c r="F38" s="57">
        <f t="shared" si="12"/>
        <v>1.340640625</v>
      </c>
      <c r="G38" s="64">
        <f>D38*G$4*Discounting!$D39</f>
        <v>0</v>
      </c>
      <c r="H38" s="64">
        <f>E38*H$4*Discounting!$D39</f>
        <v>0</v>
      </c>
      <c r="I38" s="64">
        <f>F38*I$4*Discounting!$D39</f>
        <v>0</v>
      </c>
      <c r="J38" s="58">
        <f t="shared" si="9"/>
        <v>0</v>
      </c>
      <c r="K38" s="58">
        <f t="shared" si="13"/>
        <v>0</v>
      </c>
      <c r="L38" s="58">
        <f>J38*Discounting!C39</f>
        <v>0</v>
      </c>
      <c r="N38" s="23"/>
      <c r="O38" s="23"/>
      <c r="P38" s="23"/>
      <c r="Q38" s="23"/>
    </row>
    <row r="39" spans="2:17" ht="15.75" thickBot="1" x14ac:dyDescent="0.3">
      <c r="B39" s="65">
        <f>'Truck Diversion Impacts'!D37</f>
        <v>2049</v>
      </c>
      <c r="C39" s="56">
        <f>'Truck Diversion Impacts'!G37</f>
        <v>1121875</v>
      </c>
      <c r="D39" s="57">
        <f t="shared" si="10"/>
        <v>2.00815625E-2</v>
      </c>
      <c r="E39" s="57">
        <f t="shared" si="11"/>
        <v>0.490259375</v>
      </c>
      <c r="F39" s="57">
        <f t="shared" si="12"/>
        <v>1.340640625</v>
      </c>
      <c r="G39" s="64">
        <f>D39*G$4*Discounting!$D40</f>
        <v>0</v>
      </c>
      <c r="H39" s="64">
        <f>E39*H$4*Discounting!$D40</f>
        <v>0</v>
      </c>
      <c r="I39" s="64">
        <f>F39*I$4*Discounting!$D40</f>
        <v>0</v>
      </c>
      <c r="J39" s="58">
        <f t="shared" si="9"/>
        <v>0</v>
      </c>
      <c r="K39" s="58">
        <f t="shared" si="13"/>
        <v>0</v>
      </c>
      <c r="L39" s="58">
        <f>J39*Discounting!C40</f>
        <v>0</v>
      </c>
      <c r="N39" s="23"/>
      <c r="O39" s="23"/>
      <c r="P39" s="23"/>
      <c r="Q39" s="23"/>
    </row>
    <row r="40" spans="2:17" ht="15.75" thickBot="1" x14ac:dyDescent="0.3">
      <c r="B40" s="65">
        <f>'Truck Diversion Impacts'!D38</f>
        <v>2050</v>
      </c>
      <c r="C40" s="56">
        <f>'Truck Diversion Impacts'!G38</f>
        <v>1121875</v>
      </c>
      <c r="D40" s="57">
        <f t="shared" si="10"/>
        <v>2.00815625E-2</v>
      </c>
      <c r="E40" s="57">
        <f t="shared" si="11"/>
        <v>0.490259375</v>
      </c>
      <c r="F40" s="57">
        <f t="shared" si="12"/>
        <v>1.340640625</v>
      </c>
      <c r="G40" s="64">
        <f>D40*G$4*Discounting!$D41</f>
        <v>0</v>
      </c>
      <c r="H40" s="64">
        <f>E40*H$4*Discounting!$D41</f>
        <v>0</v>
      </c>
      <c r="I40" s="64">
        <f>F40*I$4*Discounting!$D41</f>
        <v>0</v>
      </c>
      <c r="J40" s="58">
        <f t="shared" si="9"/>
        <v>0</v>
      </c>
      <c r="K40" s="58">
        <f t="shared" si="13"/>
        <v>0</v>
      </c>
      <c r="L40" s="58">
        <f>J40*Discounting!C41</f>
        <v>0</v>
      </c>
      <c r="N40" s="23"/>
      <c r="O40" s="23"/>
      <c r="P40" s="23"/>
      <c r="Q40" s="23"/>
    </row>
    <row r="41" spans="2:17" ht="15.75" thickBot="1" x14ac:dyDescent="0.3">
      <c r="B41" s="65">
        <f>'Truck Diversion Impacts'!D39</f>
        <v>2051</v>
      </c>
      <c r="C41" s="56">
        <f>'Truck Diversion Impacts'!G39</f>
        <v>1121875</v>
      </c>
      <c r="D41" s="57">
        <f t="shared" si="10"/>
        <v>2.00815625E-2</v>
      </c>
      <c r="E41" s="57">
        <f t="shared" si="11"/>
        <v>0.490259375</v>
      </c>
      <c r="F41" s="57">
        <f t="shared" si="12"/>
        <v>1.340640625</v>
      </c>
      <c r="G41" s="64">
        <f>D41*G$4*Discounting!$D42</f>
        <v>0</v>
      </c>
      <c r="H41" s="64">
        <f>E41*H$4*Discounting!$D42</f>
        <v>0</v>
      </c>
      <c r="I41" s="64">
        <f>F41*I$4*Discounting!$D42</f>
        <v>0</v>
      </c>
      <c r="J41" s="58">
        <f t="shared" si="9"/>
        <v>0</v>
      </c>
      <c r="K41" s="58">
        <f t="shared" si="13"/>
        <v>0</v>
      </c>
      <c r="L41" s="58">
        <f>J41*Discounting!C42</f>
        <v>0</v>
      </c>
      <c r="N41" s="23"/>
      <c r="O41" s="23"/>
      <c r="P41" s="23"/>
      <c r="Q41" s="23"/>
    </row>
    <row r="42" spans="2:17" ht="15.75" thickBot="1" x14ac:dyDescent="0.3">
      <c r="B42" s="59" t="s">
        <v>52</v>
      </c>
      <c r="C42" s="60">
        <f t="shared" ref="C42:K42" si="14">SUM(C11:C41)</f>
        <v>30822869.711093105</v>
      </c>
      <c r="D42" s="73">
        <f>SUM(D7:D41)</f>
        <v>0.55172936782856652</v>
      </c>
      <c r="E42" s="60">
        <f t="shared" si="14"/>
        <v>13.469594063747698</v>
      </c>
      <c r="F42" s="60">
        <f t="shared" si="14"/>
        <v>36.833329304756255</v>
      </c>
      <c r="G42" s="61">
        <f t="shared" si="14"/>
        <v>4481773.2552354168</v>
      </c>
      <c r="H42" s="61">
        <f t="shared" si="14"/>
        <v>1983153.3681424046</v>
      </c>
      <c r="I42" s="61">
        <f t="shared" si="14"/>
        <v>134017.64357557718</v>
      </c>
      <c r="J42" s="61">
        <f t="shared" si="14"/>
        <v>6598944.2669533947</v>
      </c>
      <c r="K42" s="61">
        <f t="shared" si="14"/>
        <v>3860673.0984581634</v>
      </c>
      <c r="L42" s="61">
        <f>SUM(L7:L41)</f>
        <v>2048759.1250234505</v>
      </c>
      <c r="N42" s="23"/>
      <c r="O42" s="23"/>
      <c r="P42" s="23"/>
      <c r="Q42" s="23"/>
    </row>
    <row r="43" spans="2:17" ht="15.75" thickTop="1" x14ac:dyDescent="0.25"/>
    <row r="44" spans="2:17" x14ac:dyDescent="0.25">
      <c r="D44" s="74"/>
      <c r="E44" s="31"/>
      <c r="G44" s="18"/>
      <c r="H44" s="18"/>
      <c r="I44" s="18"/>
    </row>
    <row r="45" spans="2:17" x14ac:dyDescent="0.25">
      <c r="J45" s="18"/>
      <c r="L45" s="18"/>
    </row>
  </sheetData>
  <mergeCells count="10">
    <mergeCell ref="B2:B6"/>
    <mergeCell ref="C2:C6"/>
    <mergeCell ref="D2:F2"/>
    <mergeCell ref="J2:L4"/>
    <mergeCell ref="D5:D6"/>
    <mergeCell ref="E5:E6"/>
    <mergeCell ref="F5:F6"/>
    <mergeCell ref="J5:J6"/>
    <mergeCell ref="K5:L5"/>
    <mergeCell ref="G2:I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D43" sqref="C43:D43"/>
    </sheetView>
  </sheetViews>
  <sheetFormatPr defaultRowHeight="15" x14ac:dyDescent="0.25"/>
  <cols>
    <col min="2" max="2" width="9.85546875" bestFit="1" customWidth="1"/>
    <col min="3" max="3" width="13.42578125" customWidth="1"/>
    <col min="4" max="4" width="10.85546875" bestFit="1" customWidth="1"/>
  </cols>
  <sheetData>
    <row r="1" spans="1:6" x14ac:dyDescent="0.25">
      <c r="B1" t="s">
        <v>59</v>
      </c>
      <c r="C1" t="s">
        <v>97</v>
      </c>
      <c r="F1" t="s">
        <v>252</v>
      </c>
    </row>
    <row r="2" spans="1:6" x14ac:dyDescent="0.25">
      <c r="A2" t="s">
        <v>60</v>
      </c>
      <c r="B2">
        <v>0.85</v>
      </c>
      <c r="C2" s="66">
        <f>0.14585592*(1+InpC!D35)</f>
        <v>0.14933647510498627</v>
      </c>
      <c r="F2">
        <v>0.15</v>
      </c>
    </row>
    <row r="3" spans="1:6" x14ac:dyDescent="0.25">
      <c r="A3" t="s">
        <v>61</v>
      </c>
      <c r="B3">
        <v>0.15</v>
      </c>
      <c r="C3" s="66">
        <f>0.045840432*(1+InpC!D35)</f>
        <v>4.6934320747281398E-2</v>
      </c>
      <c r="F3">
        <v>0.85</v>
      </c>
    </row>
    <row r="4" spans="1:6" x14ac:dyDescent="0.25">
      <c r="A4" t="s">
        <v>62</v>
      </c>
      <c r="C4" s="66">
        <f>C2*B2+C3*B3</f>
        <v>0.13397615195133053</v>
      </c>
      <c r="D4" s="30"/>
      <c r="F4" s="66">
        <f>F2*C2+F3*C3</f>
        <v>6.2294643900937127E-2</v>
      </c>
    </row>
    <row r="5" spans="1:6" x14ac:dyDescent="0.25">
      <c r="A5" t="s">
        <v>33</v>
      </c>
      <c r="B5" t="s">
        <v>40</v>
      </c>
      <c r="C5" t="s">
        <v>10</v>
      </c>
      <c r="D5" t="s">
        <v>8</v>
      </c>
    </row>
    <row r="6" spans="1:6" x14ac:dyDescent="0.25">
      <c r="A6">
        <f>'Truck Diversion Impacts'!D5</f>
        <v>2017</v>
      </c>
      <c r="B6" s="29">
        <f>'Truck Diversion Impacts'!G5</f>
        <v>0</v>
      </c>
      <c r="C6" s="23">
        <f>IF(SUM(Discounting!$D$8:D8)&gt;5,B6*$C$4*Discounting!D8,'Truck Pavement'!B6*'Truck Pavement'!$F$4*Discounting!D8)</f>
        <v>0</v>
      </c>
      <c r="D6" s="23">
        <f>C6*Discounting!C8</f>
        <v>0</v>
      </c>
    </row>
    <row r="7" spans="1:6" x14ac:dyDescent="0.25">
      <c r="A7">
        <f>'Truck Diversion Impacts'!D6</f>
        <v>2018</v>
      </c>
      <c r="B7" s="29">
        <f>'Truck Diversion Impacts'!G6</f>
        <v>0</v>
      </c>
      <c r="C7" s="23">
        <f>IF(SUM(Discounting!$D$8:D9)&gt;5,B7*$C$4*Discounting!D9,'Truck Pavement'!B7*'Truck Pavement'!$F$4*Discounting!D9)</f>
        <v>0</v>
      </c>
      <c r="D7" s="23">
        <f>C7*Discounting!C9</f>
        <v>0</v>
      </c>
    </row>
    <row r="8" spans="1:6" x14ac:dyDescent="0.25">
      <c r="A8">
        <f>'Truck Diversion Impacts'!D7</f>
        <v>2019</v>
      </c>
      <c r="B8" s="29">
        <f>'Truck Diversion Impacts'!G7</f>
        <v>0</v>
      </c>
      <c r="C8" s="23">
        <f>IF(SUM(Discounting!$D$8:D10)&gt;5,B8*$C$4*Discounting!D10,'Truck Pavement'!B8*'Truck Pavement'!$F$4*Discounting!D10)</f>
        <v>0</v>
      </c>
      <c r="D8" s="23">
        <f>C8*Discounting!C10</f>
        <v>0</v>
      </c>
    </row>
    <row r="9" spans="1:6" x14ac:dyDescent="0.25">
      <c r="A9">
        <f>'Truck Diversion Impacts'!D8</f>
        <v>2020</v>
      </c>
      <c r="B9" s="29">
        <f>'Truck Diversion Impacts'!G8</f>
        <v>0</v>
      </c>
      <c r="C9" s="23">
        <f>IF(SUM(Discounting!$D$8:D11)&gt;5,B9*$C$4*Discounting!D11,'Truck Pavement'!B9*'Truck Pavement'!$F$4*Discounting!D11)</f>
        <v>0</v>
      </c>
      <c r="D9" s="23">
        <f>C9*Discounting!C11</f>
        <v>0</v>
      </c>
    </row>
    <row r="10" spans="1:6" x14ac:dyDescent="0.25">
      <c r="A10">
        <f>'Truck Diversion Impacts'!D9</f>
        <v>2021</v>
      </c>
      <c r="B10" s="29">
        <f>'Truck Diversion Impacts'!G9</f>
        <v>0</v>
      </c>
      <c r="C10" s="23">
        <f>IF(SUM(Discounting!$D$8:D12)&gt;5,B10*$C$4*Discounting!D12,'Truck Pavement'!B10*'Truck Pavement'!$F$4*Discounting!D12)</f>
        <v>0</v>
      </c>
      <c r="D10" s="23">
        <f>C10*Discounting!C12</f>
        <v>0</v>
      </c>
    </row>
    <row r="11" spans="1:6" x14ac:dyDescent="0.25">
      <c r="A11">
        <f>'Truck Diversion Impacts'!D10</f>
        <v>2022</v>
      </c>
      <c r="B11" s="29">
        <f>'Truck Diversion Impacts'!G10</f>
        <v>0</v>
      </c>
      <c r="C11" s="23">
        <f>IF(SUM(Discounting!$D$8:D13)&gt;5,B11*$C$4*Discounting!D13,'Truck Pavement'!B11*'Truck Pavement'!$F$4*Discounting!D13)</f>
        <v>0</v>
      </c>
      <c r="D11" s="23">
        <f>C11*Discounting!C13</f>
        <v>0</v>
      </c>
    </row>
    <row r="12" spans="1:6" x14ac:dyDescent="0.25">
      <c r="A12">
        <f>'Truck Diversion Impacts'!D11</f>
        <v>2023</v>
      </c>
      <c r="B12" s="29">
        <f>'Truck Diversion Impacts'!G11</f>
        <v>254286.98742331544</v>
      </c>
      <c r="C12" s="23">
        <f>IF(SUM(Discounting!$D$8:D14)&gt;5,B12*$C$4*Discounting!D14,'Truck Pavement'!B12*'Truck Pavement'!$F$4*Discounting!D14)</f>
        <v>0</v>
      </c>
      <c r="D12" s="23">
        <f>C12*Discounting!C14</f>
        <v>0</v>
      </c>
    </row>
    <row r="13" spans="1:6" x14ac:dyDescent="0.25">
      <c r="A13">
        <f>'Truck Diversion Impacts'!D12</f>
        <v>2024</v>
      </c>
      <c r="B13" s="29">
        <f>'Truck Diversion Impacts'!G12</f>
        <v>521288.32421779667</v>
      </c>
      <c r="C13" s="23">
        <f>IF(SUM(Discounting!$D$8:D15)&gt;5,B13*$C$4*Discounting!D15,'Truck Pavement'!B13*'Truck Pavement'!$F$4*Discounting!D15)</f>
        <v>32473.470526863905</v>
      </c>
      <c r="D13" s="23">
        <f>C13*Discounting!C15</f>
        <v>20222.845388701371</v>
      </c>
    </row>
    <row r="14" spans="1:6" x14ac:dyDescent="0.25">
      <c r="A14">
        <f>'Truck Diversion Impacts'!D13</f>
        <v>2025</v>
      </c>
      <c r="B14" s="29">
        <f>'Truck Diversion Impacts'!G13</f>
        <v>801639.7278520019</v>
      </c>
      <c r="C14" s="23">
        <f>IF(SUM(Discounting!$D$8:D16)&gt;5,B14*$C$4*Discounting!D16,'Truck Pavement'!B14*'Truck Pavement'!$F$4*Discounting!D16)</f>
        <v>49937.86138338461</v>
      </c>
      <c r="D14" s="23">
        <f>C14*Discounting!C16</f>
        <v>29064.289987636686</v>
      </c>
    </row>
    <row r="15" spans="1:6" x14ac:dyDescent="0.25">
      <c r="A15">
        <f>'Truck Diversion Impacts'!D14</f>
        <v>2026</v>
      </c>
      <c r="B15" s="29">
        <f>'Truck Diversion Impacts'!G14</f>
        <v>1096008.7016679174</v>
      </c>
      <c r="C15" s="23">
        <f>IF(SUM(Discounting!$D$8:D17)&gt;5,B15*$C$4*Discounting!D17,'Truck Pavement'!B15*'Truck Pavement'!$F$4*Discounting!D17)</f>
        <v>68275.471782731358</v>
      </c>
      <c r="D15" s="23">
        <f>C15*Discounting!C17</f>
        <v>37137.332893479463</v>
      </c>
    </row>
    <row r="16" spans="1:6" x14ac:dyDescent="0.25">
      <c r="A16">
        <f>'Truck Diversion Impacts'!D15</f>
        <v>2027</v>
      </c>
      <c r="B16" s="29">
        <f>'Truck Diversion Impacts'!G15</f>
        <v>1405096.1241746289</v>
      </c>
      <c r="C16" s="23">
        <f>IF(SUM(Discounting!$D$8:D18)&gt;5,B16*$C$4*Discounting!D18,'Truck Pavement'!B16*'Truck Pavement'!$F$4*Discounting!D18)</f>
        <v>87529.962702045435</v>
      </c>
      <c r="D16" s="23">
        <f>C16*Discounting!C18</f>
        <v>44495.794580163049</v>
      </c>
    </row>
    <row r="17" spans="1:4" x14ac:dyDescent="0.25">
      <c r="A17">
        <f>'Truck Diversion Impacts'!D16</f>
        <v>2028</v>
      </c>
      <c r="B17" s="29">
        <f>'Truck Diversion Impacts'!G16</f>
        <v>1729637.9178066754</v>
      </c>
      <c r="C17" s="23">
        <f>IF(SUM(Discounting!$D$8:D19)&gt;5,B17*$C$4*Discounting!D19,'Truck Pavement'!B17*'Truck Pavement'!$F$4*Discounting!D19)</f>
        <v>107747.17816732521</v>
      </c>
      <c r="D17" s="23">
        <f>C17*Discounting!C19</f>
        <v>51189.90817838606</v>
      </c>
    </row>
    <row r="18" spans="1:4" x14ac:dyDescent="0.25">
      <c r="A18">
        <f>'Truck Diversion Impacts'!D17</f>
        <v>2029</v>
      </c>
      <c r="B18" s="29">
        <f>'Truck Diversion Impacts'!G17</f>
        <v>730745.2586679688</v>
      </c>
      <c r="C18" s="23">
        <f>IF(SUM(Discounting!$D$8:D20)&gt;5,B18*$C$4*Discounting!D20,'Truck Pavement'!B18*'Truck Pavement'!$F$4*Discounting!D20)</f>
        <v>97902.437813014127</v>
      </c>
      <c r="D18" s="23">
        <f>C18*Discounting!C20</f>
        <v>43469.853227800646</v>
      </c>
    </row>
    <row r="19" spans="1:4" x14ac:dyDescent="0.25">
      <c r="A19">
        <f>'Truck Diversion Impacts'!D18</f>
        <v>2030</v>
      </c>
      <c r="B19" s="29">
        <f>'Truck Diversion Impacts'!G18</f>
        <v>857032.52160136728</v>
      </c>
      <c r="C19" s="23">
        <f>IF(SUM(Discounting!$D$8:D21)&gt;5,B19*$C$4*Discounting!D21,'Truck Pavement'!B19*'Truck Pavement'!$F$4*Discounting!D21)</f>
        <v>114821.91934129674</v>
      </c>
      <c r="D19" s="23">
        <f>C19*Discounting!C21</f>
        <v>47647.014364963397</v>
      </c>
    </row>
    <row r="20" spans="1:4" x14ac:dyDescent="0.25">
      <c r="A20">
        <f>'Truck Diversion Impacts'!D19</f>
        <v>2031</v>
      </c>
      <c r="B20" s="29">
        <f>'Truck Diversion Impacts'!G19</f>
        <v>989634.1476814358</v>
      </c>
      <c r="C20" s="23">
        <f>IF(SUM(Discounting!$D$8:D22)&gt;5,B20*$C$4*Discounting!D22,'Truck Pavement'!B20*'Truck Pavement'!$F$4*Discounting!D22)</f>
        <v>132587.37494599354</v>
      </c>
      <c r="D20" s="23">
        <f>C20*Discounting!C22</f>
        <v>51419.669945284797</v>
      </c>
    </row>
    <row r="21" spans="1:4" x14ac:dyDescent="0.25">
      <c r="A21">
        <f>'Truck Diversion Impacts'!D20</f>
        <v>2032</v>
      </c>
      <c r="B21" s="29">
        <f>'Truck Diversion Impacts'!G20</f>
        <v>1121875</v>
      </c>
      <c r="C21" s="23">
        <f>IF(SUM(Discounting!$D$8:D23)&gt;5,B21*$C$4*Discounting!D23,'Truck Pavement'!B21*'Truck Pavement'!$F$4*Discounting!D23)</f>
        <v>150304.49547039895</v>
      </c>
      <c r="D21" s="23">
        <f>C21*Discounting!C23</f>
        <v>54477.266117599182</v>
      </c>
    </row>
    <row r="22" spans="1:4" x14ac:dyDescent="0.25">
      <c r="A22">
        <f>'Truck Diversion Impacts'!D21</f>
        <v>2033</v>
      </c>
      <c r="B22" s="29">
        <f>'Truck Diversion Impacts'!G21</f>
        <v>1121875</v>
      </c>
      <c r="C22" s="23">
        <f>IF(SUM(Discounting!$D$8:D24)&gt;5,B22*$C$4*Discounting!D24,'Truck Pavement'!B22*'Truck Pavement'!$F$4*Discounting!D24)</f>
        <v>150304.49547039895</v>
      </c>
      <c r="D22" s="23">
        <f>C22*Discounting!C24</f>
        <v>50913.332820186151</v>
      </c>
    </row>
    <row r="23" spans="1:4" x14ac:dyDescent="0.25">
      <c r="A23">
        <f>'Truck Diversion Impacts'!D22</f>
        <v>2034</v>
      </c>
      <c r="B23" s="29">
        <f>'Truck Diversion Impacts'!G22</f>
        <v>1121875</v>
      </c>
      <c r="C23" s="23">
        <f>IF(SUM(Discounting!$D$8:D25)&gt;5,B23*$C$4*Discounting!D25,'Truck Pavement'!B23*'Truck Pavement'!$F$4*Discounting!D25)</f>
        <v>150304.49547039895</v>
      </c>
      <c r="D23" s="23">
        <f>C23*Discounting!C25</f>
        <v>47582.554037557158</v>
      </c>
    </row>
    <row r="24" spans="1:4" x14ac:dyDescent="0.25">
      <c r="A24">
        <f>'Truck Diversion Impacts'!D23</f>
        <v>2035</v>
      </c>
      <c r="B24" s="29">
        <f>'Truck Diversion Impacts'!G23</f>
        <v>1121875</v>
      </c>
      <c r="C24" s="23">
        <f>IF(SUM(Discounting!$D$8:D26)&gt;5,B24*$C$4*Discounting!D26,'Truck Pavement'!B24*'Truck Pavement'!$F$4*Discounting!D26)</f>
        <v>150304.49547039895</v>
      </c>
      <c r="D24" s="23">
        <f>C24*Discounting!C26</f>
        <v>44469.676670614157</v>
      </c>
    </row>
    <row r="25" spans="1:4" x14ac:dyDescent="0.25">
      <c r="A25">
        <f>'Truck Diversion Impacts'!D24</f>
        <v>2036</v>
      </c>
      <c r="B25" s="29">
        <f>'Truck Diversion Impacts'!G24</f>
        <v>1121875</v>
      </c>
      <c r="C25" s="23">
        <f>IF(SUM(Discounting!$D$8:D27)&gt;5,B25*$C$4*Discounting!D27,'Truck Pavement'!B25*'Truck Pavement'!$F$4*Discounting!D27)</f>
        <v>150304.49547039895</v>
      </c>
      <c r="D25" s="23">
        <f>C25*Discounting!C27</f>
        <v>41560.445486555291</v>
      </c>
    </row>
    <row r="26" spans="1:4" x14ac:dyDescent="0.25">
      <c r="A26">
        <f>'Truck Diversion Impacts'!D25</f>
        <v>2037</v>
      </c>
      <c r="B26" s="29">
        <f>'Truck Diversion Impacts'!G25</f>
        <v>1121875</v>
      </c>
      <c r="C26" s="23">
        <f>IF(SUM(Discounting!$D$8:D28)&gt;5,B26*$C$4*Discounting!D28,'Truck Pavement'!B26*'Truck Pavement'!$F$4*Discounting!D28)</f>
        <v>150304.49547039895</v>
      </c>
      <c r="D26" s="23">
        <f>C26*Discounting!C28</f>
        <v>38841.537837902142</v>
      </c>
    </row>
    <row r="27" spans="1:4" x14ac:dyDescent="0.25">
      <c r="A27">
        <f>'Truck Diversion Impacts'!D26</f>
        <v>2038</v>
      </c>
      <c r="B27" s="29">
        <f>'Truck Diversion Impacts'!G26</f>
        <v>1121875</v>
      </c>
      <c r="C27" s="23">
        <f>IF(SUM(Discounting!$D$8:D29)&gt;5,B27*$C$4*Discounting!D29,'Truck Pavement'!B27*'Truck Pavement'!$F$4*Discounting!D29)</f>
        <v>150304.49547039895</v>
      </c>
      <c r="D27" s="23">
        <f>C27*Discounting!C29</f>
        <v>36300.502652244992</v>
      </c>
    </row>
    <row r="28" spans="1:4" x14ac:dyDescent="0.25">
      <c r="A28">
        <f>'Truck Diversion Impacts'!D27</f>
        <v>2039</v>
      </c>
      <c r="B28" s="29">
        <f>'Truck Diversion Impacts'!G27</f>
        <v>1121875</v>
      </c>
      <c r="C28" s="23">
        <f>IF(SUM(Discounting!$D$8:D30)&gt;5,B28*$C$4*Discounting!D30,'Truck Pavement'!B28*'Truck Pavement'!$F$4*Discounting!D30)</f>
        <v>150304.49547039895</v>
      </c>
      <c r="D28" s="23">
        <f>C28*Discounting!C30</f>
        <v>33925.70341331308</v>
      </c>
    </row>
    <row r="29" spans="1:4" x14ac:dyDescent="0.25">
      <c r="A29">
        <f>'Truck Diversion Impacts'!D28</f>
        <v>2040</v>
      </c>
      <c r="B29" s="29">
        <f>'Truck Diversion Impacts'!G28</f>
        <v>1121875</v>
      </c>
      <c r="C29" s="23">
        <f>IF(SUM(Discounting!$D$8:D31)&gt;5,B29*$C$4*Discounting!D31,'Truck Pavement'!B29*'Truck Pavement'!$F$4*Discounting!D31)</f>
        <v>150304.49547039895</v>
      </c>
      <c r="D29" s="23">
        <f>C29*Discounting!C31</f>
        <v>31706.264872255208</v>
      </c>
    </row>
    <row r="30" spans="1:4" x14ac:dyDescent="0.25">
      <c r="A30">
        <f>'Truck Diversion Impacts'!D29</f>
        <v>2041</v>
      </c>
      <c r="B30" s="29">
        <f>'Truck Diversion Impacts'!G29</f>
        <v>1121875</v>
      </c>
      <c r="C30" s="23">
        <f>IF(SUM(Discounting!$D$8:D32)&gt;5,B30*$C$4*Discounting!D32,'Truck Pavement'!B30*'Truck Pavement'!$F$4*Discounting!D32)</f>
        <v>150304.49547039895</v>
      </c>
      <c r="D30" s="23">
        <f>C30*Discounting!C32</f>
        <v>29632.023245098328</v>
      </c>
    </row>
    <row r="31" spans="1:4" x14ac:dyDescent="0.25">
      <c r="A31">
        <f>'Truck Diversion Impacts'!D30</f>
        <v>2042</v>
      </c>
      <c r="B31" s="29">
        <f>'Truck Diversion Impacts'!G30</f>
        <v>1121875</v>
      </c>
      <c r="C31" s="23">
        <f>IF(SUM(Discounting!$D$8:D33)&gt;5,B31*$C$4*Discounting!D33,'Truck Pavement'!B31*'Truck Pavement'!$F$4*Discounting!D33)</f>
        <v>150304.49547039895</v>
      </c>
      <c r="D31" s="23">
        <f>C31*Discounting!C33</f>
        <v>27693.479668316191</v>
      </c>
    </row>
    <row r="32" spans="1:4" x14ac:dyDescent="0.25">
      <c r="A32">
        <f>'Truck Diversion Impacts'!D31</f>
        <v>2043</v>
      </c>
      <c r="B32" s="29">
        <f>'Truck Diversion Impacts'!G31</f>
        <v>1121875</v>
      </c>
      <c r="C32" s="23">
        <f>IF(SUM(Discounting!$D$8:D34)&gt;5,B32*$C$4*Discounting!D34,'Truck Pavement'!B32*'Truck Pavement'!$F$4*Discounting!D34)</f>
        <v>150304.49547039895</v>
      </c>
      <c r="D32" s="23">
        <f>C32*Discounting!C34</f>
        <v>25881.756699360929</v>
      </c>
    </row>
    <row r="33" spans="1:4" x14ac:dyDescent="0.25">
      <c r="A33">
        <f>'Truck Diversion Impacts'!D32</f>
        <v>2044</v>
      </c>
      <c r="B33" s="29">
        <f>'Truck Diversion Impacts'!G32</f>
        <v>1121875</v>
      </c>
      <c r="C33" s="23">
        <f>IF(SUM(Discounting!$D$8:D35)&gt;5,B33*$C$4*Discounting!D35,'Truck Pavement'!B33*'Truck Pavement'!$F$4*Discounting!D35)</f>
        <v>150304.49547039895</v>
      </c>
      <c r="D33" s="23">
        <f>C33*Discounting!C35</f>
        <v>24188.557662954136</v>
      </c>
    </row>
    <row r="34" spans="1:4" x14ac:dyDescent="0.25">
      <c r="A34">
        <f>'Truck Diversion Impacts'!D33</f>
        <v>2045</v>
      </c>
      <c r="B34" s="29">
        <f>'Truck Diversion Impacts'!G33</f>
        <v>1121875</v>
      </c>
      <c r="C34" s="23">
        <f>IF(SUM(Discounting!$D$8:D36)&gt;5,B34*$C$4*Discounting!D36,'Truck Pavement'!B34*'Truck Pavement'!$F$4*Discounting!D36)</f>
        <v>150304.49547039895</v>
      </c>
      <c r="D34" s="23">
        <f>C34*Discounting!C36</f>
        <v>22606.128656966484</v>
      </c>
    </row>
    <row r="35" spans="1:4" x14ac:dyDescent="0.25">
      <c r="A35">
        <f>'Truck Diversion Impacts'!D34</f>
        <v>2046</v>
      </c>
      <c r="B35" s="29">
        <f>'Truck Diversion Impacts'!G34</f>
        <v>1121875</v>
      </c>
      <c r="C35" s="23">
        <f>IF(SUM(Discounting!$D$8:D37)&gt;5,B35*$C$4*Discounting!D37,'Truck Pavement'!B35*'Truck Pavement'!$F$4*Discounting!D37)</f>
        <v>150304.49547039895</v>
      </c>
      <c r="D35" s="23">
        <f>C35*Discounting!C37</f>
        <v>21127.223043893911</v>
      </c>
    </row>
    <row r="36" spans="1:4" x14ac:dyDescent="0.25">
      <c r="A36">
        <f>'Truck Diversion Impacts'!D35</f>
        <v>2047</v>
      </c>
      <c r="B36" s="29">
        <f>'Truck Diversion Impacts'!G35</f>
        <v>1121875</v>
      </c>
      <c r="C36" s="23">
        <f>IF(SUM(Discounting!$D$8:D38)&gt;5,B36*$C$4*Discounting!D38,'Truck Pavement'!B36*'Truck Pavement'!$F$4*Discounting!D38)</f>
        <v>150304.49547039895</v>
      </c>
      <c r="D36" s="23">
        <f>C36*Discounting!C38</f>
        <v>19745.068265321413</v>
      </c>
    </row>
    <row r="37" spans="1:4" x14ac:dyDescent="0.25">
      <c r="A37">
        <f>'Truck Diversion Impacts'!D36</f>
        <v>2048</v>
      </c>
      <c r="B37" s="29">
        <f>'Truck Diversion Impacts'!G36</f>
        <v>1121875</v>
      </c>
      <c r="C37" s="23">
        <f>IF(SUM(Discounting!$D$8:D39)&gt;5,B37*$C$4*Discounting!D39,'Truck Pavement'!B37*'Truck Pavement'!$F$4*Discounting!D39)</f>
        <v>0</v>
      </c>
      <c r="D37" s="23">
        <f>C37*Discounting!C39</f>
        <v>0</v>
      </c>
    </row>
    <row r="38" spans="1:4" x14ac:dyDescent="0.25">
      <c r="A38">
        <f>'Truck Diversion Impacts'!D37</f>
        <v>2049</v>
      </c>
      <c r="B38" s="29">
        <f>'Truck Diversion Impacts'!G37</f>
        <v>1121875</v>
      </c>
      <c r="C38" s="23">
        <f>IF(SUM(Discounting!$D$8:D40)&gt;5,B38*$C$4*Discounting!D40,'Truck Pavement'!B38*'Truck Pavement'!$F$4*Discounting!D40)</f>
        <v>0</v>
      </c>
      <c r="D38" s="23">
        <f>C38*Discounting!C40</f>
        <v>0</v>
      </c>
    </row>
    <row r="39" spans="1:4" x14ac:dyDescent="0.25">
      <c r="A39">
        <f>'Truck Diversion Impacts'!D38</f>
        <v>2050</v>
      </c>
      <c r="B39" s="29">
        <f>'Truck Diversion Impacts'!G38</f>
        <v>1121875</v>
      </c>
      <c r="C39" s="23">
        <f>IF(SUM(Discounting!$D$8:D41)&gt;5,B39*$C$4*Discounting!D41,'Truck Pavement'!B39*'Truck Pavement'!$F$4*Discounting!D41)</f>
        <v>0</v>
      </c>
      <c r="D39" s="23">
        <f>C39*Discounting!C41</f>
        <v>0</v>
      </c>
    </row>
    <row r="40" spans="1:4" x14ac:dyDescent="0.25">
      <c r="A40">
        <f>'Truck Diversion Impacts'!D39</f>
        <v>2051</v>
      </c>
      <c r="B40" s="29">
        <f>'Truck Diversion Impacts'!G39</f>
        <v>1121875</v>
      </c>
      <c r="C40" s="23">
        <f>IF(SUM(Discounting!$D$8:D42)&gt;5,B40*$C$4*Discounting!D42,'Truck Pavement'!B40*'Truck Pavement'!$F$4*Discounting!D42)</f>
        <v>0</v>
      </c>
      <c r="D40" s="23">
        <f>C40*Discounting!C42</f>
        <v>0</v>
      </c>
    </row>
    <row r="41" spans="1:4" x14ac:dyDescent="0.25">
      <c r="C41" s="23">
        <f>SUM(C10:C40)</f>
        <v>3096147.6041890392</v>
      </c>
      <c r="D41" s="23">
        <f>SUM(D6:D40)</f>
        <v>875298.22971655428</v>
      </c>
    </row>
    <row r="43" spans="1:4" x14ac:dyDescent="0.25">
      <c r="C43" s="23"/>
      <c r="D43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workbookViewId="0">
      <selection activeCell="B39" sqref="B39"/>
    </sheetView>
  </sheetViews>
  <sheetFormatPr defaultRowHeight="15" x14ac:dyDescent="0.25"/>
  <cols>
    <col min="2" max="2" width="10.85546875" customWidth="1"/>
    <col min="3" max="3" width="15.85546875" customWidth="1"/>
    <col min="4" max="4" width="13.7109375" customWidth="1"/>
  </cols>
  <sheetData>
    <row r="1" spans="1:5" x14ac:dyDescent="0.25">
      <c r="C1" s="69"/>
    </row>
    <row r="2" spans="1:5" x14ac:dyDescent="0.25">
      <c r="A2" t="s">
        <v>33</v>
      </c>
      <c r="B2" t="s">
        <v>43</v>
      </c>
      <c r="C2" t="s">
        <v>63</v>
      </c>
      <c r="D2" t="s">
        <v>10</v>
      </c>
      <c r="E2" t="s">
        <v>8</v>
      </c>
    </row>
    <row r="3" spans="1:5" x14ac:dyDescent="0.25">
      <c r="A3">
        <f>'Truck Diversion Impacts'!D5</f>
        <v>2017</v>
      </c>
    </row>
    <row r="4" spans="1:5" x14ac:dyDescent="0.25">
      <c r="A4">
        <f>'Truck Diversion Impacts'!D6</f>
        <v>2018</v>
      </c>
    </row>
    <row r="5" spans="1:5" x14ac:dyDescent="0.25">
      <c r="A5">
        <f>'Truck Diversion Impacts'!D7</f>
        <v>2019</v>
      </c>
    </row>
    <row r="6" spans="1:5" x14ac:dyDescent="0.25">
      <c r="A6">
        <f>'Truck Diversion Impacts'!D8</f>
        <v>2020</v>
      </c>
    </row>
    <row r="7" spans="1:5" x14ac:dyDescent="0.25">
      <c r="A7">
        <f>'Truck Diversion Impacts'!D9</f>
        <v>2021</v>
      </c>
    </row>
    <row r="8" spans="1:5" x14ac:dyDescent="0.25">
      <c r="A8">
        <f>'Truck Diversion Impacts'!D10</f>
        <v>2022</v>
      </c>
      <c r="B8" s="72">
        <f>'VMT No Build'!AC17</f>
        <v>0</v>
      </c>
      <c r="C8" s="67">
        <f>B8*InpC!$D$31*Discounting!D13</f>
        <v>0</v>
      </c>
      <c r="D8" s="67">
        <f t="shared" ref="D8:D37" si="0">SUM(C8:C8)</f>
        <v>0</v>
      </c>
      <c r="E8" s="67">
        <f>D8*Discounting!C13</f>
        <v>0</v>
      </c>
    </row>
    <row r="9" spans="1:5" x14ac:dyDescent="0.25">
      <c r="A9">
        <f>'Truck Diversion Impacts'!D11</f>
        <v>2023</v>
      </c>
      <c r="B9" s="72">
        <f>'VMT No Build'!AC18</f>
        <v>-8000</v>
      </c>
      <c r="C9" s="67">
        <f>B9*InpC!$D$31*Discounting!D14</f>
        <v>0</v>
      </c>
      <c r="D9" s="67">
        <f t="shared" si="0"/>
        <v>0</v>
      </c>
      <c r="E9" s="67">
        <f>D9*Discounting!C14</f>
        <v>0</v>
      </c>
    </row>
    <row r="10" spans="1:5" x14ac:dyDescent="0.25">
      <c r="A10">
        <f>'Truck Diversion Impacts'!D12</f>
        <v>2024</v>
      </c>
      <c r="B10" s="72">
        <f>'VMT No Build'!AC19</f>
        <v>125399.99999999997</v>
      </c>
      <c r="C10" s="67">
        <f>B10*InpC!$D$31*Discounting!D15</f>
        <v>48905.999999999993</v>
      </c>
      <c r="D10" s="67">
        <f t="shared" si="0"/>
        <v>48905.999999999993</v>
      </c>
      <c r="E10" s="67">
        <f>D10*Discounting!C15</f>
        <v>30456.198876607807</v>
      </c>
    </row>
    <row r="11" spans="1:5" x14ac:dyDescent="0.25">
      <c r="A11">
        <f>'Truck Diversion Impacts'!D13</f>
        <v>2025</v>
      </c>
      <c r="B11" s="72">
        <f>'VMT No Build'!AC20</f>
        <v>112579.99999999997</v>
      </c>
      <c r="C11" s="67">
        <f>B11*InpC!$D$31*Discounting!D16</f>
        <v>43906.19999999999</v>
      </c>
      <c r="D11" s="67">
        <f t="shared" si="0"/>
        <v>43906.19999999999</v>
      </c>
      <c r="E11" s="67">
        <f>D11*Discounting!C16</f>
        <v>25553.808146853484</v>
      </c>
    </row>
    <row r="12" spans="1:5" x14ac:dyDescent="0.25">
      <c r="A12">
        <f>'Truck Diversion Impacts'!D14</f>
        <v>2026</v>
      </c>
      <c r="B12" s="72">
        <f>'VMT No Build'!AC21</f>
        <v>104254.09999999998</v>
      </c>
      <c r="C12" s="67">
        <f>B12*InpC!$D$31*Discounting!D17</f>
        <v>40659.098999999995</v>
      </c>
      <c r="D12" s="67">
        <f t="shared" si="0"/>
        <v>40659.098999999995</v>
      </c>
      <c r="E12" s="67">
        <f>D12*Discounting!C17</f>
        <v>22115.85588916939</v>
      </c>
    </row>
    <row r="13" spans="1:5" x14ac:dyDescent="0.25">
      <c r="A13">
        <f>'Truck Diversion Impacts'!D15</f>
        <v>2027</v>
      </c>
      <c r="B13" s="72">
        <f>'VMT No Build'!AC22</f>
        <v>94720.944499999983</v>
      </c>
      <c r="C13" s="67">
        <f>B13*InpC!$D$31*Discounting!D18</f>
        <v>36941.168354999994</v>
      </c>
      <c r="D13" s="67">
        <f t="shared" si="0"/>
        <v>36941.168354999994</v>
      </c>
      <c r="E13" s="67">
        <f>D13*Discounting!C18</f>
        <v>18779.016783893683</v>
      </c>
    </row>
    <row r="14" spans="1:5" x14ac:dyDescent="0.25">
      <c r="A14">
        <f>'Truck Diversion Impacts'!D16</f>
        <v>2028</v>
      </c>
      <c r="B14" s="72">
        <f>'VMT No Build'!AC23</f>
        <v>83805.481452499982</v>
      </c>
      <c r="C14" s="67">
        <f>B14*InpC!$D$31*Discounting!D19</f>
        <v>32684.137766474993</v>
      </c>
      <c r="D14" s="67">
        <f t="shared" si="0"/>
        <v>32684.137766474993</v>
      </c>
      <c r="E14" s="67">
        <f>D14*Discounting!C19</f>
        <v>15527.998408991736</v>
      </c>
    </row>
    <row r="15" spans="1:5" x14ac:dyDescent="0.25">
      <c r="A15">
        <f>'Truck Diversion Impacts'!D17</f>
        <v>2029</v>
      </c>
      <c r="B15" s="72">
        <f>'VMT No Build'!AC24</f>
        <v>71307.276263112479</v>
      </c>
      <c r="C15" s="67">
        <f>B15*InpC!$D$31*Discounting!D20</f>
        <v>27809.837742613869</v>
      </c>
      <c r="D15" s="67">
        <f t="shared" si="0"/>
        <v>27809.837742613869</v>
      </c>
      <c r="E15" s="67">
        <f>D15*Discounting!C20</f>
        <v>12347.90054226493</v>
      </c>
    </row>
    <row r="16" spans="1:5" x14ac:dyDescent="0.25">
      <c r="A16">
        <f>'Truck Diversion Impacts'!D18</f>
        <v>2030</v>
      </c>
      <c r="B16" s="72">
        <f>'VMT No Build'!AC25</f>
        <v>56996.831321263802</v>
      </c>
      <c r="C16" s="67">
        <f>B16*InpC!$D$31*Discounting!D21</f>
        <v>22228.764215292882</v>
      </c>
      <c r="D16" s="67">
        <f t="shared" si="0"/>
        <v>22228.764215292882</v>
      </c>
      <c r="E16" s="67">
        <f>D16*Discounting!C21</f>
        <v>9224.1468698434928</v>
      </c>
    </row>
    <row r="17" spans="1:5" x14ac:dyDescent="0.25">
      <c r="A17">
        <f>'Truck Diversion Impacts'!D19</f>
        <v>2031</v>
      </c>
      <c r="B17" s="72">
        <f>'VMT No Build'!AC26</f>
        <v>40611.371862847052</v>
      </c>
      <c r="C17" s="67">
        <f>B17*InpC!$D$31*Discounting!D22</f>
        <v>15838.435026510351</v>
      </c>
      <c r="D17" s="67">
        <f t="shared" si="0"/>
        <v>15838.435026510351</v>
      </c>
      <c r="E17" s="67">
        <f>D17*Discounting!C22</f>
        <v>6142.4181740134054</v>
      </c>
    </row>
    <row r="18" spans="1:5" x14ac:dyDescent="0.25">
      <c r="A18">
        <f>'Truck Diversion Impacts'!D20</f>
        <v>2032</v>
      </c>
      <c r="B18" s="72">
        <f>'VMT No Build'!AC27</f>
        <v>21499.999999999971</v>
      </c>
      <c r="C18" s="67">
        <f>B18*InpC!$D$31*Discounting!D23</f>
        <v>8384.9999999999891</v>
      </c>
      <c r="D18" s="67">
        <f t="shared" si="0"/>
        <v>8384.9999999999891</v>
      </c>
      <c r="E18" s="67">
        <f>D18*Discounting!C23</f>
        <v>3039.109874701182</v>
      </c>
    </row>
    <row r="19" spans="1:5" x14ac:dyDescent="0.25">
      <c r="A19">
        <f>'Truck Diversion Impacts'!D21</f>
        <v>2033</v>
      </c>
      <c r="B19" s="72">
        <f>'VMT No Build'!AC28</f>
        <v>21499.999999999971</v>
      </c>
      <c r="C19" s="67">
        <f>B19*InpC!$D$31*Discounting!D24</f>
        <v>8384.9999999999891</v>
      </c>
      <c r="D19" s="67">
        <f t="shared" si="0"/>
        <v>8384.9999999999891</v>
      </c>
      <c r="E19" s="67">
        <f>D19*Discounting!C24</f>
        <v>2840.2896025244695</v>
      </c>
    </row>
    <row r="20" spans="1:5" x14ac:dyDescent="0.25">
      <c r="A20">
        <f>'Truck Diversion Impacts'!D22</f>
        <v>2034</v>
      </c>
      <c r="B20" s="72">
        <f>'VMT No Build'!AC29</f>
        <v>21499.999999999971</v>
      </c>
      <c r="C20" s="67">
        <f>B20*InpC!$D$31*Discounting!D25</f>
        <v>8384.9999999999891</v>
      </c>
      <c r="D20" s="67">
        <f t="shared" si="0"/>
        <v>8384.9999999999891</v>
      </c>
      <c r="E20" s="67">
        <f>D20*Discounting!C25</f>
        <v>2654.4762640415602</v>
      </c>
    </row>
    <row r="21" spans="1:5" x14ac:dyDescent="0.25">
      <c r="A21">
        <f>'Truck Diversion Impacts'!D23</f>
        <v>2035</v>
      </c>
      <c r="B21" s="72">
        <f>'VMT No Build'!AC30</f>
        <v>21499.999999999971</v>
      </c>
      <c r="C21" s="67">
        <f>B21*InpC!$D$31*Discounting!D26</f>
        <v>8384.9999999999891</v>
      </c>
      <c r="D21" s="67">
        <f t="shared" si="0"/>
        <v>8384.9999999999891</v>
      </c>
      <c r="E21" s="67">
        <f>D21*Discounting!C26</f>
        <v>2480.8189383565982</v>
      </c>
    </row>
    <row r="22" spans="1:5" x14ac:dyDescent="0.25">
      <c r="A22">
        <f>'Truck Diversion Impacts'!D24</f>
        <v>2036</v>
      </c>
      <c r="B22" s="72">
        <f>'VMT No Build'!AC31</f>
        <v>21499.999999999971</v>
      </c>
      <c r="C22" s="67">
        <f>B22*InpC!$D$31*Discounting!D27</f>
        <v>8384.9999999999891</v>
      </c>
      <c r="D22" s="67">
        <f t="shared" si="0"/>
        <v>8384.9999999999891</v>
      </c>
      <c r="E22" s="67">
        <f>D22*Discounting!C27</f>
        <v>2318.5223722958863</v>
      </c>
    </row>
    <row r="23" spans="1:5" x14ac:dyDescent="0.25">
      <c r="A23">
        <f>'Truck Diversion Impacts'!D25</f>
        <v>2037</v>
      </c>
      <c r="B23" s="72">
        <f>'VMT No Build'!AC32</f>
        <v>21499.999999999971</v>
      </c>
      <c r="C23" s="67">
        <f>B23*InpC!$D$31*Discounting!D28</f>
        <v>8384.9999999999891</v>
      </c>
      <c r="D23" s="67">
        <f t="shared" si="0"/>
        <v>8384.9999999999891</v>
      </c>
      <c r="E23" s="67">
        <f>D23*Discounting!C28</f>
        <v>2166.8433385942863</v>
      </c>
    </row>
    <row r="24" spans="1:5" x14ac:dyDescent="0.25">
      <c r="A24">
        <f>'Truck Diversion Impacts'!D26</f>
        <v>2038</v>
      </c>
      <c r="B24" s="72">
        <f>'VMT No Build'!AC33</f>
        <v>21499.999999999971</v>
      </c>
      <c r="C24" s="67">
        <f>B24*InpC!$D$31*Discounting!D29</f>
        <v>8384.9999999999891</v>
      </c>
      <c r="D24" s="67">
        <f t="shared" si="0"/>
        <v>8384.9999999999891</v>
      </c>
      <c r="E24" s="67">
        <f>D24*Discounting!C29</f>
        <v>2025.0872323311087</v>
      </c>
    </row>
    <row r="25" spans="1:5" x14ac:dyDescent="0.25">
      <c r="A25">
        <f>'Truck Diversion Impacts'!D27</f>
        <v>2039</v>
      </c>
      <c r="B25" s="72">
        <f>'VMT No Build'!AC34</f>
        <v>21499.999999999971</v>
      </c>
      <c r="C25" s="67">
        <f>B25*InpC!$D$31*Discounting!D30</f>
        <v>8384.9999999999891</v>
      </c>
      <c r="D25" s="67">
        <f t="shared" si="0"/>
        <v>8384.9999999999891</v>
      </c>
      <c r="E25" s="67">
        <f>D25*Discounting!C30</f>
        <v>1892.6048900290734</v>
      </c>
    </row>
    <row r="26" spans="1:5" x14ac:dyDescent="0.25">
      <c r="A26">
        <f>'Truck Diversion Impacts'!D28</f>
        <v>2040</v>
      </c>
      <c r="B26" s="72">
        <f>'VMT No Build'!AC35</f>
        <v>21499.999999999971</v>
      </c>
      <c r="C26" s="67">
        <f>B26*InpC!$D$31*Discounting!D31</f>
        <v>8384.9999999999891</v>
      </c>
      <c r="D26" s="67">
        <f t="shared" si="0"/>
        <v>8384.9999999999891</v>
      </c>
      <c r="E26" s="67">
        <f>D26*Discounting!C31</f>
        <v>1768.7896168496013</v>
      </c>
    </row>
    <row r="27" spans="1:5" x14ac:dyDescent="0.25">
      <c r="A27">
        <f>'Truck Diversion Impacts'!D29</f>
        <v>2041</v>
      </c>
      <c r="B27" s="72">
        <f>'VMT No Build'!AC36</f>
        <v>21499.999999999971</v>
      </c>
      <c r="C27" s="67">
        <f>B27*InpC!$D$31*Discounting!D32</f>
        <v>8384.9999999999891</v>
      </c>
      <c r="D27" s="67">
        <f t="shared" si="0"/>
        <v>8384.9999999999891</v>
      </c>
      <c r="E27" s="67">
        <f>D27*Discounting!C32</f>
        <v>1653.0744082706553</v>
      </c>
    </row>
    <row r="28" spans="1:5" x14ac:dyDescent="0.25">
      <c r="A28">
        <f>'Truck Diversion Impacts'!D30</f>
        <v>2042</v>
      </c>
      <c r="B28" s="72">
        <f>'VMT No Build'!AC37</f>
        <v>21499.999999999971</v>
      </c>
      <c r="C28" s="67">
        <f>B28*InpC!$D$31*Discounting!D33</f>
        <v>8384.9999999999891</v>
      </c>
      <c r="D28" s="67">
        <f t="shared" si="0"/>
        <v>8384.9999999999891</v>
      </c>
      <c r="E28" s="67">
        <f>D28*Discounting!C33</f>
        <v>1544.9293535239767</v>
      </c>
    </row>
    <row r="29" spans="1:5" x14ac:dyDescent="0.25">
      <c r="A29">
        <f>'Truck Diversion Impacts'!D31</f>
        <v>2043</v>
      </c>
      <c r="B29" s="72">
        <f>'VMT No Build'!AC38</f>
        <v>21499.999999999971</v>
      </c>
      <c r="C29" s="67">
        <f>B29*InpC!$D$31*Discounting!D34</f>
        <v>8384.9999999999891</v>
      </c>
      <c r="D29" s="67">
        <f t="shared" si="0"/>
        <v>8384.9999999999891</v>
      </c>
      <c r="E29" s="67">
        <f>D29*Discounting!C34</f>
        <v>1443.8592089009132</v>
      </c>
    </row>
    <row r="30" spans="1:5" x14ac:dyDescent="0.25">
      <c r="A30">
        <f>'Truck Diversion Impacts'!D32</f>
        <v>2044</v>
      </c>
      <c r="B30" s="72">
        <f>'VMT No Build'!AC39</f>
        <v>21499.999999999971</v>
      </c>
      <c r="C30" s="67">
        <f>B30*InpC!$D$31*Discounting!D35</f>
        <v>8384.9999999999891</v>
      </c>
      <c r="D30" s="67">
        <f t="shared" si="0"/>
        <v>8384.9999999999891</v>
      </c>
      <c r="E30" s="67">
        <f>D30*Discounting!C35</f>
        <v>1349.4011298139371</v>
      </c>
    </row>
    <row r="31" spans="1:5" x14ac:dyDescent="0.25">
      <c r="A31">
        <f>'Truck Diversion Impacts'!D33</f>
        <v>2045</v>
      </c>
      <c r="B31" s="72">
        <f>'VMT No Build'!AC40</f>
        <v>21499.999999999971</v>
      </c>
      <c r="C31" s="67">
        <f>B31*InpC!$D$31*Discounting!D36</f>
        <v>8384.9999999999891</v>
      </c>
      <c r="D31" s="67">
        <f t="shared" si="0"/>
        <v>8384.9999999999891</v>
      </c>
      <c r="E31" s="67">
        <f>D31*Discounting!C36</f>
        <v>1261.1225512279789</v>
      </c>
    </row>
    <row r="32" spans="1:5" x14ac:dyDescent="0.25">
      <c r="A32">
        <f>'Truck Diversion Impacts'!D34</f>
        <v>2046</v>
      </c>
      <c r="B32" s="72">
        <f>'VMT No Build'!AC41</f>
        <v>21499.999999999971</v>
      </c>
      <c r="C32" s="67">
        <f>B32*InpC!$D$31*Discounting!D37</f>
        <v>8384.9999999999891</v>
      </c>
      <c r="D32" s="67">
        <f t="shared" si="0"/>
        <v>8384.9999999999891</v>
      </c>
      <c r="E32" s="67">
        <f>D32*Discounting!C37</f>
        <v>1178.6192067551206</v>
      </c>
    </row>
    <row r="33" spans="1:5" x14ac:dyDescent="0.25">
      <c r="A33">
        <f>'Truck Diversion Impacts'!D35</f>
        <v>2047</v>
      </c>
      <c r="B33" s="72">
        <f>'VMT No Build'!AC42</f>
        <v>21499.999999999971</v>
      </c>
      <c r="C33" s="67">
        <f>B33*InpC!$D$31*Discounting!D38</f>
        <v>8384.9999999999891</v>
      </c>
      <c r="D33" s="67">
        <f t="shared" si="0"/>
        <v>8384.9999999999891</v>
      </c>
      <c r="E33" s="67">
        <f>D33*Discounting!C38</f>
        <v>1101.5132773412342</v>
      </c>
    </row>
    <row r="34" spans="1:5" x14ac:dyDescent="0.25">
      <c r="A34">
        <f>'Truck Diversion Impacts'!D36</f>
        <v>2048</v>
      </c>
      <c r="B34" s="72">
        <f>B33</f>
        <v>21499.999999999971</v>
      </c>
      <c r="C34" s="67">
        <f>B34*InpC!$D$31*Discounting!D39</f>
        <v>0</v>
      </c>
      <c r="D34" s="67">
        <f t="shared" si="0"/>
        <v>0</v>
      </c>
      <c r="E34" s="67">
        <f>D34*Discounting!C39</f>
        <v>0</v>
      </c>
    </row>
    <row r="35" spans="1:5" x14ac:dyDescent="0.25">
      <c r="A35">
        <f>'Truck Diversion Impacts'!D37</f>
        <v>2049</v>
      </c>
      <c r="B35" s="72">
        <f t="shared" ref="B35:B37" si="1">B34</f>
        <v>21499.999999999971</v>
      </c>
      <c r="C35" s="67">
        <f>B35*InpC!$D$31*Discounting!D40</f>
        <v>0</v>
      </c>
      <c r="D35" s="67">
        <f t="shared" si="0"/>
        <v>0</v>
      </c>
      <c r="E35" s="67">
        <f>D35*Discounting!C40</f>
        <v>0</v>
      </c>
    </row>
    <row r="36" spans="1:5" x14ac:dyDescent="0.25">
      <c r="A36">
        <f>'Truck Diversion Impacts'!D38</f>
        <v>2050</v>
      </c>
      <c r="B36" s="72">
        <f t="shared" si="1"/>
        <v>21499.999999999971</v>
      </c>
      <c r="C36" s="67">
        <f>B36*InpC!$D$31*Discounting!D41</f>
        <v>0</v>
      </c>
      <c r="D36" s="67">
        <f t="shared" si="0"/>
        <v>0</v>
      </c>
      <c r="E36" s="67">
        <f>D36*Discounting!C41</f>
        <v>0</v>
      </c>
    </row>
    <row r="37" spans="1:5" x14ac:dyDescent="0.25">
      <c r="A37">
        <f>'Truck Diversion Impacts'!D39</f>
        <v>2051</v>
      </c>
      <c r="B37" s="72">
        <f t="shared" si="1"/>
        <v>21499.999999999971</v>
      </c>
      <c r="C37" s="67">
        <f>B37*InpC!$D$31*Discounting!D42</f>
        <v>0</v>
      </c>
      <c r="D37" s="67">
        <f t="shared" si="0"/>
        <v>0</v>
      </c>
      <c r="E37" s="67">
        <f>D37*Discounting!C42</f>
        <v>0</v>
      </c>
    </row>
    <row r="39" spans="1:5" x14ac:dyDescent="0.25">
      <c r="B39" s="28">
        <f>SUM(B10:B33)</f>
        <v>1033676.0053997232</v>
      </c>
      <c r="D39" s="67">
        <f>SUM(D8:D38)</f>
        <v>403133.64210589207</v>
      </c>
      <c r="E39" s="67">
        <f>SUM(E8:E38)</f>
        <v>170866.40495719548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InpC</vt:lpstr>
      <vt:lpstr>Costs</vt:lpstr>
      <vt:lpstr>Operating Benefits</vt:lpstr>
      <vt:lpstr>Vessel Env. Impacts</vt:lpstr>
      <vt:lpstr>Truck Diversion Impacts</vt:lpstr>
      <vt:lpstr>Truck Emissions</vt:lpstr>
      <vt:lpstr>Truck Crashes</vt:lpstr>
      <vt:lpstr>Truck Pavement</vt:lpstr>
      <vt:lpstr>Auto VMT Savings</vt:lpstr>
      <vt:lpstr>Auto safety</vt:lpstr>
      <vt:lpstr>Auto Emissions</vt:lpstr>
      <vt:lpstr>Discounting</vt:lpstr>
      <vt:lpstr>Summary Undisc</vt:lpstr>
      <vt:lpstr>Disc Summary</vt:lpstr>
      <vt:lpstr>VMT No Build</vt:lpstr>
      <vt:lpstr>VMT Build</vt:lpstr>
      <vt:lpstr>Berth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King</dc:creator>
  <cp:lastModifiedBy>King, Alexander P.</cp:lastModifiedBy>
  <dcterms:created xsi:type="dcterms:W3CDTF">2018-07-13T13:47:56Z</dcterms:created>
  <dcterms:modified xsi:type="dcterms:W3CDTF">2019-03-04T21:12:44Z</dcterms:modified>
</cp:coreProperties>
</file>