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hatchengineering.sharepoint.com/sites/H-368191-PhilaPort2022FederalGrantSupport/Shared Documents/General/10-Work in Progress/01-BCA/"/>
    </mc:Choice>
  </mc:AlternateContent>
  <xr:revisionPtr revIDLastSave="2705" documentId="8_{83E4FB58-F997-49A9-8650-BF0CC437DC2A}" xr6:coauthVersionLast="47" xr6:coauthVersionMax="47" xr10:uidLastSave="{789A2772-6461-44EB-9522-890DC00F7A12}"/>
  <bookViews>
    <workbookView xWindow="-28815" yWindow="-9330" windowWidth="26475" windowHeight="15735" xr2:uid="{D29F61AF-2DA0-4577-BF5B-EDC609353EB7}"/>
  </bookViews>
  <sheets>
    <sheet name="Summary Tables" sheetId="17" r:id="rId1"/>
    <sheet name="30yr Horizon_noshipping" sheetId="20" r:id="rId2"/>
    <sheet name="30yr Horizon_shipping" sheetId="2" r:id="rId3"/>
    <sheet name="Traffic_Reduced port VMT" sheetId="13" r:id="rId4"/>
    <sheet name="Traffic_Reduced highway VMT" sheetId="9" r:id="rId5"/>
    <sheet name="Air Quality" sheetId="6" r:id="rId6"/>
    <sheet name="References&gt;" sheetId="15" r:id="rId7"/>
    <sheet name="BCA Values" sheetId="1" r:id="rId8"/>
    <sheet name="Project Information" sheetId="5" r:id="rId9"/>
    <sheet name="Updated Project Costs" sheetId="21" r:id="rId10"/>
    <sheet name="Crash stats" sheetId="14" r:id="rId11"/>
    <sheet name="project benefits_PAMT_pubbridge" sheetId="12" r:id="rId12"/>
    <sheet name="Archived&gt;" sheetId="19" r:id="rId13"/>
    <sheet name="Project Costs" sheetId="8"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9" i="17" l="1"/>
  <c r="AI19" i="6"/>
  <c r="AJ19" i="6"/>
  <c r="AJ22" i="6" s="1"/>
  <c r="AK19" i="6"/>
  <c r="AK22" i="6" s="1"/>
  <c r="AL19" i="6"/>
  <c r="AL22" i="6" s="1"/>
  <c r="AM19" i="6"/>
  <c r="AM22" i="6" s="1"/>
  <c r="AN19" i="6"/>
  <c r="AN22" i="6" s="1"/>
  <c r="AO19" i="6"/>
  <c r="AI20" i="6"/>
  <c r="AJ20" i="6"/>
  <c r="AK20" i="6"/>
  <c r="AL20" i="6"/>
  <c r="AM20" i="6"/>
  <c r="AN20" i="6"/>
  <c r="AO20" i="6"/>
  <c r="AO22" i="6" s="1"/>
  <c r="AI21" i="6"/>
  <c r="AJ21" i="6"/>
  <c r="AK21" i="6"/>
  <c r="AL21" i="6"/>
  <c r="AM21" i="6"/>
  <c r="AN21" i="6"/>
  <c r="AO21" i="6"/>
  <c r="AI22" i="6"/>
  <c r="R13" i="21"/>
  <c r="Q13" i="21"/>
  <c r="R12" i="21"/>
  <c r="Q12" i="21"/>
  <c r="A22" i="12"/>
  <c r="B22" i="12"/>
  <c r="I22" i="12"/>
  <c r="J22" i="12"/>
  <c r="K22" i="12"/>
  <c r="L22" i="12"/>
  <c r="M22" i="12"/>
  <c r="N22" i="12"/>
  <c r="O22" i="12"/>
  <c r="P22" i="12"/>
  <c r="Q22" i="12"/>
  <c r="R22" i="12"/>
  <c r="S22" i="12"/>
  <c r="T22" i="12"/>
  <c r="U22" i="12"/>
  <c r="V22" i="12"/>
  <c r="W22" i="12"/>
  <c r="X22" i="12"/>
  <c r="Y22" i="12"/>
  <c r="Z22" i="12"/>
  <c r="AA22" i="12"/>
  <c r="AB22" i="12"/>
  <c r="AC22" i="12"/>
  <c r="AD22" i="12"/>
  <c r="AE22" i="12"/>
  <c r="AF22" i="12"/>
  <c r="AG22" i="12"/>
  <c r="H22" i="12"/>
  <c r="G22" i="12"/>
  <c r="F22" i="12"/>
  <c r="E22" i="12"/>
  <c r="D22" i="12"/>
  <c r="C22" i="12"/>
  <c r="A20" i="12"/>
  <c r="B20" i="12"/>
  <c r="A21" i="12"/>
  <c r="E49" i="9"/>
  <c r="E38" i="13"/>
  <c r="C22" i="21"/>
  <c r="D22" i="21"/>
  <c r="E22" i="21"/>
  <c r="B22" i="21"/>
  <c r="C61" i="17"/>
  <c r="C62" i="17" s="1"/>
  <c r="D61" i="17"/>
  <c r="D62" i="17" s="1"/>
  <c r="E61" i="17"/>
  <c r="B61" i="17"/>
  <c r="B22" i="17"/>
  <c r="E62" i="17"/>
  <c r="B62" i="17"/>
  <c r="E82" i="17"/>
  <c r="E83" i="17"/>
  <c r="D83" i="17"/>
  <c r="D82" i="17"/>
  <c r="D84" i="17" s="1"/>
  <c r="C83" i="17"/>
  <c r="C82" i="17"/>
  <c r="C84" i="17" s="1"/>
  <c r="B83" i="17"/>
  <c r="B82" i="17"/>
  <c r="B84" i="17" s="1"/>
  <c r="E76" i="17"/>
  <c r="D76" i="17"/>
  <c r="C76" i="17"/>
  <c r="B76" i="17"/>
  <c r="B70" i="17"/>
  <c r="B71" i="17"/>
  <c r="B72" i="17"/>
  <c r="B69" i="17"/>
  <c r="H67" i="9"/>
  <c r="H68" i="9"/>
  <c r="H69" i="9"/>
  <c r="H66" i="9"/>
  <c r="K47" i="9"/>
  <c r="L47" i="9" s="1"/>
  <c r="M47" i="9" s="1"/>
  <c r="N47" i="9" s="1"/>
  <c r="O47" i="9" s="1"/>
  <c r="P47" i="9" s="1"/>
  <c r="Q47" i="9" s="1"/>
  <c r="R47" i="9" s="1"/>
  <c r="S47" i="9" s="1"/>
  <c r="T47" i="9" s="1"/>
  <c r="U47" i="9" s="1"/>
  <c r="V47" i="9" s="1"/>
  <c r="W47" i="9" s="1"/>
  <c r="X47" i="9" s="1"/>
  <c r="Y47" i="9" s="1"/>
  <c r="Z47" i="9" s="1"/>
  <c r="AA47" i="9" s="1"/>
  <c r="AB47" i="9" s="1"/>
  <c r="AC47" i="9" s="1"/>
  <c r="AD47" i="9" s="1"/>
  <c r="AE47" i="9" s="1"/>
  <c r="AF47" i="9" s="1"/>
  <c r="AG47" i="9" s="1"/>
  <c r="AH47" i="9" s="1"/>
  <c r="AI47" i="9" s="1"/>
  <c r="AJ47" i="9" s="1"/>
  <c r="AK47" i="9" s="1"/>
  <c r="AL47" i="9" s="1"/>
  <c r="AM47" i="9" s="1"/>
  <c r="B21" i="12"/>
  <c r="D21" i="12"/>
  <c r="E21"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C21"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H20" i="12"/>
  <c r="G20" i="12"/>
  <c r="F20" i="12"/>
  <c r="E20" i="12"/>
  <c r="D20" i="12"/>
  <c r="C20" i="12"/>
  <c r="L1" i="20"/>
  <c r="M1" i="20" s="1"/>
  <c r="N1" i="20" s="1"/>
  <c r="O1" i="20" s="1"/>
  <c r="P1" i="20" s="1"/>
  <c r="Q1" i="20" s="1"/>
  <c r="R1" i="20" s="1"/>
  <c r="S1" i="20" s="1"/>
  <c r="T1" i="20" s="1"/>
  <c r="U1" i="20" s="1"/>
  <c r="V1" i="20" s="1"/>
  <c r="W1" i="20" s="1"/>
  <c r="X1" i="20" s="1"/>
  <c r="Y1" i="20" s="1"/>
  <c r="Z1" i="20" s="1"/>
  <c r="AA1" i="20" s="1"/>
  <c r="AB1" i="20" s="1"/>
  <c r="AC1" i="20" s="1"/>
  <c r="AD1" i="20" s="1"/>
  <c r="AE1" i="20" s="1"/>
  <c r="AF1" i="20" s="1"/>
  <c r="AG1" i="20" s="1"/>
  <c r="AH1" i="20" s="1"/>
  <c r="AI1" i="20" s="1"/>
  <c r="AJ1" i="20" s="1"/>
  <c r="AK1" i="20" s="1"/>
  <c r="AL1" i="20" s="1"/>
  <c r="AM1" i="20" s="1"/>
  <c r="AN1" i="20" s="1"/>
  <c r="L1" i="2"/>
  <c r="M1" i="2" s="1"/>
  <c r="N1" i="2" s="1"/>
  <c r="O1" i="2" s="1"/>
  <c r="P1" i="2" s="1"/>
  <c r="Q1" i="2" s="1"/>
  <c r="R1" i="2" s="1"/>
  <c r="S1" i="2" s="1"/>
  <c r="T1" i="2" s="1"/>
  <c r="U1" i="2" s="1"/>
  <c r="V1" i="2" s="1"/>
  <c r="W1" i="2" s="1"/>
  <c r="X1" i="2" s="1"/>
  <c r="Y1" i="2" s="1"/>
  <c r="Z1" i="2" s="1"/>
  <c r="AA1" i="2" s="1"/>
  <c r="AB1" i="2" s="1"/>
  <c r="AC1" i="2" s="1"/>
  <c r="AD1" i="2" s="1"/>
  <c r="AE1" i="2" s="1"/>
  <c r="AF1" i="2" s="1"/>
  <c r="AG1" i="2" s="1"/>
  <c r="AH1" i="2" s="1"/>
  <c r="AI1" i="2" s="1"/>
  <c r="AJ1" i="2" s="1"/>
  <c r="AK1" i="2" s="1"/>
  <c r="AL1" i="2" s="1"/>
  <c r="AM1" i="2" s="1"/>
  <c r="AN1" i="2" s="1"/>
  <c r="D17" i="6"/>
  <c r="D16" i="6"/>
  <c r="D18" i="6"/>
  <c r="D14" i="6"/>
  <c r="D15" i="6"/>
  <c r="C15" i="6" s="1"/>
  <c r="C72" i="17" s="1"/>
  <c r="D13" i="6"/>
  <c r="F37" i="13"/>
  <c r="F36" i="13"/>
  <c r="F41" i="13"/>
  <c r="F40" i="13"/>
  <c r="F39" i="13"/>
  <c r="F38" i="13"/>
  <c r="J49" i="9"/>
  <c r="K49" i="9"/>
  <c r="L49" i="9"/>
  <c r="M49" i="9"/>
  <c r="N49" i="9"/>
  <c r="B60" i="9"/>
  <c r="M20" i="20"/>
  <c r="B35" i="21"/>
  <c r="B36" i="21"/>
  <c r="B34" i="21"/>
  <c r="F24" i="21"/>
  <c r="G24" i="21"/>
  <c r="B24" i="21"/>
  <c r="G20" i="20" s="1"/>
  <c r="B38" i="9"/>
  <c r="C28" i="13"/>
  <c r="D19" i="6" l="1"/>
  <c r="D20" i="6"/>
  <c r="C13" i="6"/>
  <c r="C14" i="6"/>
  <c r="C71" i="17" s="1"/>
  <c r="E84" i="17"/>
  <c r="D21" i="6"/>
  <c r="D22" i="6" s="1"/>
  <c r="H60" i="9"/>
  <c r="I10" i="20" s="1"/>
  <c r="K60" i="9"/>
  <c r="O49" i="9"/>
  <c r="N67" i="9"/>
  <c r="M67" i="9"/>
  <c r="L67" i="9"/>
  <c r="K67" i="9"/>
  <c r="J67" i="9"/>
  <c r="I49" i="9"/>
  <c r="F45" i="13"/>
  <c r="F21" i="2"/>
  <c r="L20" i="20"/>
  <c r="K21" i="2"/>
  <c r="K20" i="20"/>
  <c r="J21" i="2"/>
  <c r="D24" i="21"/>
  <c r="E24" i="21"/>
  <c r="C24" i="21"/>
  <c r="B37" i="21"/>
  <c r="C35" i="21" s="1"/>
  <c r="C36" i="21"/>
  <c r="S12" i="21"/>
  <c r="I10" i="2"/>
  <c r="F60" i="9"/>
  <c r="G10" i="20" s="1"/>
  <c r="L60" i="9"/>
  <c r="J60" i="9"/>
  <c r="M60" i="9"/>
  <c r="G60" i="9"/>
  <c r="H10" i="20" s="1"/>
  <c r="D22" i="9"/>
  <c r="D28" i="13"/>
  <c r="J47" i="13"/>
  <c r="Z47" i="13"/>
  <c r="AC16" i="14"/>
  <c r="AC6" i="14"/>
  <c r="AC7" i="14"/>
  <c r="AC8" i="14"/>
  <c r="AC9" i="14"/>
  <c r="AC10" i="14"/>
  <c r="AC11" i="14"/>
  <c r="AC12" i="14"/>
  <c r="AC13" i="14"/>
  <c r="AC14" i="14"/>
  <c r="AC5" i="14"/>
  <c r="R8" i="14"/>
  <c r="B28" i="13" s="1"/>
  <c r="G46" i="13" s="1"/>
  <c r="C15" i="14"/>
  <c r="B55" i="9"/>
  <c r="B54" i="9"/>
  <c r="B53" i="9"/>
  <c r="AI52" i="9"/>
  <c r="AJ52" i="9" s="1"/>
  <c r="AK52" i="9" s="1"/>
  <c r="AL52" i="9" s="1"/>
  <c r="AM52" i="9" s="1"/>
  <c r="AI51" i="9"/>
  <c r="AJ51" i="9" s="1"/>
  <c r="AK51" i="9" s="1"/>
  <c r="AL51" i="9" s="1"/>
  <c r="AM51" i="9" s="1"/>
  <c r="AI50" i="9"/>
  <c r="AJ50" i="9" s="1"/>
  <c r="AK50" i="9" s="1"/>
  <c r="AL50" i="9" s="1"/>
  <c r="AM50" i="9" s="1"/>
  <c r="B58" i="9"/>
  <c r="B59" i="9"/>
  <c r="G41" i="13"/>
  <c r="G40" i="13"/>
  <c r="G39" i="13"/>
  <c r="C34" i="21" l="1"/>
  <c r="N10" i="2"/>
  <c r="N10" i="20"/>
  <c r="K10" i="2"/>
  <c r="K10" i="20"/>
  <c r="M10" i="2"/>
  <c r="M10" i="20"/>
  <c r="I67" i="9"/>
  <c r="I60" i="9"/>
  <c r="P49" i="9"/>
  <c r="O67" i="9"/>
  <c r="L10" i="2"/>
  <c r="L10" i="20"/>
  <c r="K15" i="20"/>
  <c r="K15" i="2"/>
  <c r="AD16" i="20"/>
  <c r="AD16" i="2"/>
  <c r="N16" i="20"/>
  <c r="N16" i="2"/>
  <c r="K47" i="13"/>
  <c r="F47" i="13"/>
  <c r="J14" i="20"/>
  <c r="J14" i="2"/>
  <c r="H20" i="20"/>
  <c r="G21" i="2"/>
  <c r="J20" i="20"/>
  <c r="I21" i="2"/>
  <c r="I20" i="20"/>
  <c r="H21" i="2"/>
  <c r="S13" i="21"/>
  <c r="I22" i="2"/>
  <c r="J21" i="20"/>
  <c r="X47" i="13"/>
  <c r="G47" i="13"/>
  <c r="Y47" i="13"/>
  <c r="Q47" i="13"/>
  <c r="I47" i="13"/>
  <c r="W47" i="13"/>
  <c r="R47" i="13"/>
  <c r="AF47" i="13"/>
  <c r="P47" i="13"/>
  <c r="AH47" i="13"/>
  <c r="AG47" i="13"/>
  <c r="AE47" i="13"/>
  <c r="O47" i="13"/>
  <c r="F46" i="13"/>
  <c r="F59" i="9"/>
  <c r="G9" i="20" s="1"/>
  <c r="G10" i="2"/>
  <c r="H10" i="2"/>
  <c r="N60" i="9"/>
  <c r="G59" i="9"/>
  <c r="H59" i="9"/>
  <c r="I59" i="9"/>
  <c r="G55" i="9"/>
  <c r="F55" i="9"/>
  <c r="G6" i="20" s="1"/>
  <c r="H55" i="9"/>
  <c r="I55" i="9"/>
  <c r="I58" i="9"/>
  <c r="F58" i="9"/>
  <c r="G8" i="20" s="1"/>
  <c r="H58" i="9"/>
  <c r="G58" i="9"/>
  <c r="AD47" i="13"/>
  <c r="V47" i="13"/>
  <c r="N47" i="13"/>
  <c r="AC47" i="13"/>
  <c r="U47" i="13"/>
  <c r="M47" i="13"/>
  <c r="H47" i="13"/>
  <c r="AJ47" i="13"/>
  <c r="AB47" i="13"/>
  <c r="T47" i="13"/>
  <c r="L47" i="13"/>
  <c r="AI47" i="13"/>
  <c r="AA47" i="13"/>
  <c r="S47" i="13"/>
  <c r="B22" i="9"/>
  <c r="H46" i="13"/>
  <c r="C22" i="9"/>
  <c r="W46" i="13"/>
  <c r="V46" i="13"/>
  <c r="I45" i="13"/>
  <c r="Q45" i="13"/>
  <c r="Y45" i="13"/>
  <c r="AG45" i="13"/>
  <c r="J45" i="13"/>
  <c r="Z45" i="13"/>
  <c r="V45" i="13"/>
  <c r="W45" i="13"/>
  <c r="R45" i="13"/>
  <c r="AH45" i="13"/>
  <c r="AD45" i="13"/>
  <c r="H45" i="13"/>
  <c r="K45" i="13"/>
  <c r="S45" i="13"/>
  <c r="AA45" i="13"/>
  <c r="AI45" i="13"/>
  <c r="X45" i="13"/>
  <c r="L45" i="13"/>
  <c r="T45" i="13"/>
  <c r="AB45" i="13"/>
  <c r="AJ45" i="13"/>
  <c r="G45" i="13"/>
  <c r="M45" i="13"/>
  <c r="U45" i="13"/>
  <c r="AC45" i="13"/>
  <c r="N45" i="13"/>
  <c r="O45" i="13"/>
  <c r="AE45" i="13"/>
  <c r="P45" i="13"/>
  <c r="AF45" i="13"/>
  <c r="T46" i="13"/>
  <c r="O46" i="13"/>
  <c r="AJ46" i="13"/>
  <c r="N46" i="13"/>
  <c r="AE46" i="13"/>
  <c r="L46" i="13"/>
  <c r="AD46" i="13"/>
  <c r="AB46" i="13"/>
  <c r="AC46" i="13"/>
  <c r="U46" i="13"/>
  <c r="M46" i="13"/>
  <c r="AI46" i="13"/>
  <c r="AA46" i="13"/>
  <c r="S46" i="13"/>
  <c r="K46" i="13"/>
  <c r="AH46" i="13"/>
  <c r="Z46" i="13"/>
  <c r="R46" i="13"/>
  <c r="J46" i="13"/>
  <c r="AG46" i="13"/>
  <c r="Y46" i="13"/>
  <c r="Q46" i="13"/>
  <c r="I46" i="13"/>
  <c r="AF46" i="13"/>
  <c r="X46" i="13"/>
  <c r="P46" i="13"/>
  <c r="O10" i="2" l="1"/>
  <c r="O10" i="20"/>
  <c r="Q49" i="9"/>
  <c r="P67" i="9"/>
  <c r="J10" i="20"/>
  <c r="J10" i="2"/>
  <c r="T15" i="20"/>
  <c r="T15" i="2"/>
  <c r="AB15" i="20"/>
  <c r="AB15" i="2"/>
  <c r="AJ15" i="20"/>
  <c r="AJ15" i="2"/>
  <c r="M15" i="20"/>
  <c r="M15" i="2"/>
  <c r="U15" i="20"/>
  <c r="U15" i="2"/>
  <c r="AC15" i="20"/>
  <c r="AC15" i="2"/>
  <c r="AK15" i="20"/>
  <c r="AK15" i="2"/>
  <c r="N15" i="20"/>
  <c r="N15" i="2"/>
  <c r="V15" i="20"/>
  <c r="V15" i="2"/>
  <c r="AD15" i="20"/>
  <c r="AD15" i="2"/>
  <c r="AL15" i="20"/>
  <c r="AL15" i="2"/>
  <c r="O15" i="20"/>
  <c r="O15" i="2"/>
  <c r="W15" i="20"/>
  <c r="W15" i="2"/>
  <c r="AE15" i="20"/>
  <c r="AE15" i="2"/>
  <c r="AM15" i="20"/>
  <c r="AM15" i="2"/>
  <c r="Q15" i="20"/>
  <c r="Q15" i="2"/>
  <c r="Y15" i="20"/>
  <c r="Y15" i="2"/>
  <c r="AG15" i="20"/>
  <c r="AG15" i="2"/>
  <c r="AF15" i="20"/>
  <c r="AF15" i="2"/>
  <c r="AH15" i="20"/>
  <c r="AH15" i="2"/>
  <c r="P15" i="20"/>
  <c r="P15" i="2"/>
  <c r="AI15" i="20"/>
  <c r="AI15" i="2"/>
  <c r="R15" i="20"/>
  <c r="R15" i="2"/>
  <c r="AN15" i="20"/>
  <c r="AN15" i="2"/>
  <c r="S15" i="20"/>
  <c r="S15" i="2"/>
  <c r="X15" i="20"/>
  <c r="X15" i="2"/>
  <c r="AJ14" i="20"/>
  <c r="AJ14" i="2"/>
  <c r="T14" i="20"/>
  <c r="T14" i="2"/>
  <c r="AI14" i="20"/>
  <c r="AI14" i="2"/>
  <c r="S14" i="20"/>
  <c r="S14" i="2"/>
  <c r="R14" i="20"/>
  <c r="R14" i="2"/>
  <c r="AG14" i="20"/>
  <c r="AG14" i="2"/>
  <c r="Y14" i="20"/>
  <c r="Y14" i="2"/>
  <c r="Q14" i="20"/>
  <c r="Q14" i="2"/>
  <c r="K14" i="20"/>
  <c r="K14" i="2"/>
  <c r="AN14" i="20"/>
  <c r="AN14" i="2"/>
  <c r="AF14" i="20"/>
  <c r="AF14" i="2"/>
  <c r="X14" i="20"/>
  <c r="X14" i="2"/>
  <c r="P14" i="20"/>
  <c r="P14" i="2"/>
  <c r="AB14" i="20"/>
  <c r="AB14" i="2"/>
  <c r="AM14" i="20"/>
  <c r="AM14" i="2"/>
  <c r="AE14" i="20"/>
  <c r="AE14" i="2"/>
  <c r="W14" i="20"/>
  <c r="W14" i="2"/>
  <c r="O14" i="20"/>
  <c r="O14" i="2"/>
  <c r="L14" i="20"/>
  <c r="L14" i="2"/>
  <c r="AH14" i="20"/>
  <c r="AH14" i="2"/>
  <c r="AL14" i="20"/>
  <c r="AL14" i="2"/>
  <c r="V14" i="20"/>
  <c r="V14" i="2"/>
  <c r="AA14" i="20"/>
  <c r="AA14" i="2"/>
  <c r="Z14" i="20"/>
  <c r="Z14" i="2"/>
  <c r="AD14" i="20"/>
  <c r="AD14" i="2"/>
  <c r="N14" i="20"/>
  <c r="N14" i="2"/>
  <c r="AK14" i="20"/>
  <c r="AK14" i="2"/>
  <c r="AC14" i="20"/>
  <c r="AC14" i="2"/>
  <c r="U14" i="20"/>
  <c r="U14" i="2"/>
  <c r="M14" i="20"/>
  <c r="M14" i="2"/>
  <c r="Z15" i="20"/>
  <c r="Z15" i="2"/>
  <c r="AA15" i="20"/>
  <c r="AA15" i="2"/>
  <c r="L15" i="20"/>
  <c r="L15" i="2"/>
  <c r="W16" i="20"/>
  <c r="W16" i="2"/>
  <c r="AE16" i="20"/>
  <c r="AE16" i="2"/>
  <c r="AM16" i="20"/>
  <c r="AM16" i="2"/>
  <c r="P16" i="20"/>
  <c r="P16" i="2"/>
  <c r="X16" i="20"/>
  <c r="X16" i="2"/>
  <c r="AF16" i="20"/>
  <c r="AF16" i="2"/>
  <c r="AN16" i="20"/>
  <c r="AN16" i="2"/>
  <c r="L16" i="20"/>
  <c r="L16" i="2"/>
  <c r="Q16" i="20"/>
  <c r="Q16" i="2"/>
  <c r="Y16" i="20"/>
  <c r="Y16" i="2"/>
  <c r="AG16" i="20"/>
  <c r="AG16" i="2"/>
  <c r="R16" i="20"/>
  <c r="R16" i="2"/>
  <c r="Z16" i="20"/>
  <c r="Z16" i="2"/>
  <c r="AH16" i="20"/>
  <c r="AH16" i="2"/>
  <c r="J15" i="20"/>
  <c r="J15" i="2"/>
  <c r="S16" i="20"/>
  <c r="S16" i="2"/>
  <c r="AI16" i="20"/>
  <c r="AI16" i="2"/>
  <c r="AK16" i="20"/>
  <c r="AK16" i="2"/>
  <c r="AL16" i="20"/>
  <c r="AL16" i="2"/>
  <c r="T16" i="20"/>
  <c r="T16" i="2"/>
  <c r="AJ16" i="20"/>
  <c r="AJ16" i="2"/>
  <c r="V16" i="20"/>
  <c r="V16" i="2"/>
  <c r="AA16" i="20"/>
  <c r="AA16" i="2"/>
  <c r="M16" i="20"/>
  <c r="M16" i="2"/>
  <c r="U16" i="20"/>
  <c r="U16" i="2"/>
  <c r="AC16" i="20"/>
  <c r="AC16" i="2"/>
  <c r="K16" i="20"/>
  <c r="K16" i="2"/>
  <c r="AB16" i="20"/>
  <c r="AB16" i="2"/>
  <c r="D14" i="2"/>
  <c r="F14" i="2"/>
  <c r="E14" i="20"/>
  <c r="D14" i="20"/>
  <c r="F14" i="20"/>
  <c r="J16" i="20"/>
  <c r="J16" i="2"/>
  <c r="O16" i="20"/>
  <c r="O16" i="2"/>
  <c r="C20" i="20"/>
  <c r="E20" i="20"/>
  <c r="D20" i="20"/>
  <c r="E47" i="13"/>
  <c r="G54" i="9"/>
  <c r="O60" i="9"/>
  <c r="H5" i="2"/>
  <c r="H5" i="20"/>
  <c r="H8" i="2"/>
  <c r="H8" i="20"/>
  <c r="I8" i="2"/>
  <c r="I8" i="20"/>
  <c r="G8" i="2"/>
  <c r="J8" i="2"/>
  <c r="J8" i="20"/>
  <c r="G9" i="2"/>
  <c r="J6" i="2"/>
  <c r="J6" i="20"/>
  <c r="I6" i="2"/>
  <c r="I6" i="20"/>
  <c r="G6" i="2"/>
  <c r="H6" i="2"/>
  <c r="H6" i="20"/>
  <c r="J9" i="2"/>
  <c r="J9" i="20"/>
  <c r="I9" i="2"/>
  <c r="I9" i="20"/>
  <c r="H9" i="2"/>
  <c r="H9" i="20"/>
  <c r="H54" i="9"/>
  <c r="I53" i="9"/>
  <c r="J4" i="20" s="1"/>
  <c r="G53" i="9"/>
  <c r="H4" i="20" s="1"/>
  <c r="I54" i="9"/>
  <c r="C47" i="13"/>
  <c r="D47" i="13"/>
  <c r="F53" i="9"/>
  <c r="G4" i="20" s="1"/>
  <c r="F54" i="9"/>
  <c r="G5" i="20" s="1"/>
  <c r="H53" i="9"/>
  <c r="I4" i="20" s="1"/>
  <c r="E45" i="13"/>
  <c r="C45" i="13"/>
  <c r="D46" i="13"/>
  <c r="D45" i="13"/>
  <c r="E46" i="13"/>
  <c r="C46" i="13"/>
  <c r="P10" i="2" l="1"/>
  <c r="P10" i="20"/>
  <c r="R49" i="9"/>
  <c r="Q67" i="9"/>
  <c r="D16" i="2"/>
  <c r="F16" i="2"/>
  <c r="E16" i="20"/>
  <c r="D16" i="20"/>
  <c r="F16" i="20"/>
  <c r="D15" i="2"/>
  <c r="F15" i="2"/>
  <c r="E15" i="20"/>
  <c r="D15" i="20"/>
  <c r="F15" i="20"/>
  <c r="C16" i="20"/>
  <c r="C14" i="20"/>
  <c r="C15" i="20"/>
  <c r="E16" i="2"/>
  <c r="C16" i="2"/>
  <c r="P60" i="9"/>
  <c r="E15" i="2"/>
  <c r="C15" i="2"/>
  <c r="E14" i="2"/>
  <c r="C14" i="2"/>
  <c r="G5" i="2"/>
  <c r="J5" i="2"/>
  <c r="J5" i="20"/>
  <c r="I5" i="2"/>
  <c r="I5" i="20"/>
  <c r="E19" i="6"/>
  <c r="E21" i="6"/>
  <c r="H7" i="2"/>
  <c r="I7" i="2"/>
  <c r="J7" i="2"/>
  <c r="G7" i="2"/>
  <c r="B57" i="9"/>
  <c r="J57" i="9" s="1"/>
  <c r="K7" i="2" s="1"/>
  <c r="Q10" i="2" l="1"/>
  <c r="Q10" i="20"/>
  <c r="S49" i="9"/>
  <c r="R67" i="9"/>
  <c r="Q60" i="9"/>
  <c r="K57" i="9"/>
  <c r="L7" i="2" s="1"/>
  <c r="L57" i="9"/>
  <c r="M7" i="2" s="1"/>
  <c r="M57" i="9"/>
  <c r="N7" i="2" s="1"/>
  <c r="N57" i="9"/>
  <c r="O7" i="2" s="1"/>
  <c r="R10" i="2" l="1"/>
  <c r="R10" i="20"/>
  <c r="T49" i="9"/>
  <c r="S67" i="9"/>
  <c r="R60" i="9"/>
  <c r="O57" i="9"/>
  <c r="P7" i="2" s="1"/>
  <c r="S10" i="2" l="1"/>
  <c r="S10" i="20"/>
  <c r="U49" i="9"/>
  <c r="T67" i="9"/>
  <c r="S60" i="9"/>
  <c r="P57" i="9"/>
  <c r="Q7" i="2" s="1"/>
  <c r="T10" i="2" l="1"/>
  <c r="T10" i="20"/>
  <c r="V49" i="9"/>
  <c r="U67" i="9"/>
  <c r="T60" i="9"/>
  <c r="Q57" i="9"/>
  <c r="R7" i="2" s="1"/>
  <c r="U10" i="2" l="1"/>
  <c r="U10" i="20"/>
  <c r="W49" i="9"/>
  <c r="V67" i="9"/>
  <c r="U60" i="9"/>
  <c r="R57" i="9"/>
  <c r="S7" i="2" s="1"/>
  <c r="V10" i="2" l="1"/>
  <c r="V10" i="20"/>
  <c r="X49" i="9"/>
  <c r="W67" i="9"/>
  <c r="V60" i="9"/>
  <c r="S57" i="9"/>
  <c r="T7" i="2" s="1"/>
  <c r="W10" i="2" l="1"/>
  <c r="W10" i="20"/>
  <c r="Y49" i="9"/>
  <c r="X67" i="9"/>
  <c r="W60" i="9"/>
  <c r="T57" i="9"/>
  <c r="U7" i="2" s="1"/>
  <c r="X10" i="2" l="1"/>
  <c r="X10" i="20"/>
  <c r="Z49" i="9"/>
  <c r="Y67" i="9"/>
  <c r="X60" i="9"/>
  <c r="U57" i="9"/>
  <c r="V7" i="2" s="1"/>
  <c r="Y10" i="2" l="1"/>
  <c r="Y10" i="20"/>
  <c r="AA49" i="9"/>
  <c r="Z67" i="9"/>
  <c r="Y60" i="9"/>
  <c r="V57" i="9"/>
  <c r="W7" i="2" s="1"/>
  <c r="Z10" i="2" l="1"/>
  <c r="Z10" i="20"/>
  <c r="AB49" i="9"/>
  <c r="AA67" i="9"/>
  <c r="Z60" i="9"/>
  <c r="W57" i="9"/>
  <c r="X7" i="2" s="1"/>
  <c r="AA10" i="2" l="1"/>
  <c r="AA10" i="20"/>
  <c r="AC49" i="9"/>
  <c r="AB67" i="9"/>
  <c r="AA60" i="9"/>
  <c r="X57" i="9"/>
  <c r="Y7" i="2" s="1"/>
  <c r="AB10" i="2" l="1"/>
  <c r="AB10" i="20"/>
  <c r="AD49" i="9"/>
  <c r="AC67" i="9"/>
  <c r="AB60" i="9"/>
  <c r="Y57" i="9"/>
  <c r="Z7" i="2" s="1"/>
  <c r="AC10" i="2" l="1"/>
  <c r="AC10" i="20"/>
  <c r="AE49" i="9"/>
  <c r="AD67" i="9"/>
  <c r="AC60" i="9"/>
  <c r="Z57" i="9"/>
  <c r="AA7" i="2" s="1"/>
  <c r="AD10" i="2" l="1"/>
  <c r="AD10" i="20"/>
  <c r="AF49" i="9"/>
  <c r="AE67" i="9"/>
  <c r="AD60" i="9"/>
  <c r="AA57" i="9"/>
  <c r="AB7" i="2" s="1"/>
  <c r="AE10" i="2" l="1"/>
  <c r="AE10" i="20"/>
  <c r="AG49" i="9"/>
  <c r="AF67" i="9"/>
  <c r="AE60" i="9"/>
  <c r="AB57" i="9"/>
  <c r="AC7" i="2" s="1"/>
  <c r="AF10" i="2" l="1"/>
  <c r="AF10" i="20"/>
  <c r="AH49" i="9"/>
  <c r="AG67" i="9"/>
  <c r="AF60" i="9"/>
  <c r="AC57" i="9"/>
  <c r="AD7" i="2" s="1"/>
  <c r="AG10" i="2" l="1"/>
  <c r="AG10" i="20"/>
  <c r="AI49" i="9"/>
  <c r="AH67" i="9"/>
  <c r="AG60" i="9"/>
  <c r="AD57" i="9"/>
  <c r="AE7" i="2" s="1"/>
  <c r="AH10" i="2" l="1"/>
  <c r="AH10" i="20"/>
  <c r="AJ49" i="9"/>
  <c r="AI67" i="9"/>
  <c r="AH60" i="9"/>
  <c r="AE57" i="9"/>
  <c r="AF7" i="2" s="1"/>
  <c r="AI10" i="2" l="1"/>
  <c r="AI10" i="20"/>
  <c r="AK49" i="9"/>
  <c r="AJ67" i="9"/>
  <c r="AI60" i="9"/>
  <c r="AF57" i="9"/>
  <c r="AG7" i="2" s="1"/>
  <c r="AJ10" i="2" l="1"/>
  <c r="AJ10" i="20"/>
  <c r="AL49" i="9"/>
  <c r="AK67" i="9"/>
  <c r="AJ60" i="9"/>
  <c r="AG57" i="9"/>
  <c r="AH7" i="2" s="1"/>
  <c r="AK10" i="2" l="1"/>
  <c r="AK10" i="20"/>
  <c r="AM49" i="9"/>
  <c r="AL67" i="9"/>
  <c r="AK60" i="9"/>
  <c r="AH57" i="9"/>
  <c r="AI7" i="2" s="1"/>
  <c r="AL10" i="2" l="1"/>
  <c r="AL10" i="20"/>
  <c r="AM67" i="9"/>
  <c r="AL60" i="9"/>
  <c r="AI57" i="9"/>
  <c r="AJ7" i="2" s="1"/>
  <c r="AM10" i="2" l="1"/>
  <c r="AM10" i="20"/>
  <c r="AM60" i="9"/>
  <c r="AJ57" i="9"/>
  <c r="AK7" i="2" s="1"/>
  <c r="AN10" i="2" l="1"/>
  <c r="AN10" i="20"/>
  <c r="F10" i="20"/>
  <c r="E10" i="20"/>
  <c r="D10" i="20"/>
  <c r="F10" i="2"/>
  <c r="D10" i="2"/>
  <c r="C10" i="20"/>
  <c r="AK57" i="9"/>
  <c r="AL7" i="2" s="1"/>
  <c r="D49" i="17" l="1"/>
  <c r="D41" i="17"/>
  <c r="E49" i="17"/>
  <c r="E41" i="17"/>
  <c r="C49" i="17"/>
  <c r="C41" i="17"/>
  <c r="B49" i="17"/>
  <c r="B41" i="17"/>
  <c r="E10" i="2"/>
  <c r="C10" i="2"/>
  <c r="AL57" i="9"/>
  <c r="AM7" i="2" s="1"/>
  <c r="AM57" i="9" l="1"/>
  <c r="AN7" i="2" s="1"/>
  <c r="D7" i="2" l="1"/>
  <c r="F7" i="2"/>
  <c r="C7" i="2"/>
  <c r="E7" i="2"/>
  <c r="D57" i="9"/>
  <c r="C57" i="9"/>
  <c r="E57" i="9"/>
  <c r="C55" i="17" l="1"/>
  <c r="C36" i="17"/>
  <c r="D55" i="17"/>
  <c r="D36" i="17"/>
  <c r="B55" i="17"/>
  <c r="B36" i="17"/>
  <c r="E55" i="17"/>
  <c r="E36" i="17"/>
  <c r="C23" i="13"/>
  <c r="C22" i="13"/>
  <c r="C21" i="13"/>
  <c r="C20" i="13"/>
  <c r="I49" i="13" l="1"/>
  <c r="J49" i="13"/>
  <c r="K49" i="13"/>
  <c r="L49" i="13"/>
  <c r="M49" i="13"/>
  <c r="N49" i="13"/>
  <c r="O49" i="13"/>
  <c r="P49" i="13"/>
  <c r="Q49" i="13"/>
  <c r="R49" i="13"/>
  <c r="S49" i="13"/>
  <c r="T49" i="13"/>
  <c r="U49" i="13"/>
  <c r="V49" i="13"/>
  <c r="W49" i="13"/>
  <c r="X49" i="13"/>
  <c r="Y49" i="13"/>
  <c r="Z49" i="13"/>
  <c r="AA49" i="13"/>
  <c r="AB49" i="13"/>
  <c r="AC49" i="13"/>
  <c r="AD49" i="13"/>
  <c r="AE49" i="13"/>
  <c r="AF49" i="13"/>
  <c r="AG49" i="13"/>
  <c r="AH49" i="13"/>
  <c r="AI49" i="13"/>
  <c r="AJ49" i="13"/>
  <c r="G49" i="13"/>
  <c r="H49" i="13"/>
  <c r="F49" i="13"/>
  <c r="E49" i="13" s="1"/>
  <c r="I50" i="13"/>
  <c r="J50" i="13"/>
  <c r="K50" i="13"/>
  <c r="L50" i="13"/>
  <c r="M50" i="13"/>
  <c r="N50" i="13"/>
  <c r="O50" i="13"/>
  <c r="P50" i="13"/>
  <c r="Q50" i="13"/>
  <c r="R50" i="13"/>
  <c r="S50" i="13"/>
  <c r="T50" i="13"/>
  <c r="U50" i="13"/>
  <c r="V50" i="13"/>
  <c r="W50" i="13"/>
  <c r="X50" i="13"/>
  <c r="Y50" i="13"/>
  <c r="Z50" i="13"/>
  <c r="AA50" i="13"/>
  <c r="AB50" i="13"/>
  <c r="AC50" i="13"/>
  <c r="AD50" i="13"/>
  <c r="AE50" i="13"/>
  <c r="AF50" i="13"/>
  <c r="AG50" i="13"/>
  <c r="AH50" i="13"/>
  <c r="AI50" i="13"/>
  <c r="AJ50" i="13"/>
  <c r="G50" i="13"/>
  <c r="H50" i="13"/>
  <c r="F50" i="13"/>
  <c r="E50" i="13" s="1"/>
  <c r="I51" i="13"/>
  <c r="J51" i="13"/>
  <c r="K51" i="13"/>
  <c r="L51" i="13"/>
  <c r="M51" i="13"/>
  <c r="N51" i="13"/>
  <c r="O51" i="13"/>
  <c r="P51" i="13"/>
  <c r="Q51" i="13"/>
  <c r="R51" i="13"/>
  <c r="S51" i="13"/>
  <c r="T51" i="13"/>
  <c r="U51" i="13"/>
  <c r="V51" i="13"/>
  <c r="W51" i="13"/>
  <c r="X51" i="13"/>
  <c r="Y51" i="13"/>
  <c r="Z51" i="13"/>
  <c r="AA51" i="13"/>
  <c r="AB51" i="13"/>
  <c r="AC51" i="13"/>
  <c r="AD51" i="13"/>
  <c r="AE51" i="13"/>
  <c r="AF51" i="13"/>
  <c r="AG51" i="13"/>
  <c r="AH51" i="13"/>
  <c r="AI51" i="13"/>
  <c r="AJ51" i="13"/>
  <c r="G51" i="13"/>
  <c r="H51" i="13"/>
  <c r="F51" i="13"/>
  <c r="E51" i="13" s="1"/>
  <c r="I52" i="13"/>
  <c r="J52" i="13"/>
  <c r="K52" i="13"/>
  <c r="L52" i="13"/>
  <c r="M52" i="13"/>
  <c r="N52" i="13"/>
  <c r="O52" i="13"/>
  <c r="P52" i="13"/>
  <c r="Q52" i="13"/>
  <c r="R52" i="13"/>
  <c r="S52" i="13"/>
  <c r="T52" i="13"/>
  <c r="U52" i="13"/>
  <c r="V52" i="13"/>
  <c r="W52" i="13"/>
  <c r="X52" i="13"/>
  <c r="Y52" i="13"/>
  <c r="Z52" i="13"/>
  <c r="AA52" i="13"/>
  <c r="AB52" i="13"/>
  <c r="AC52" i="13"/>
  <c r="AD52" i="13"/>
  <c r="AE52" i="13"/>
  <c r="AF52" i="13"/>
  <c r="AG52" i="13"/>
  <c r="AH52" i="13"/>
  <c r="AI52" i="13"/>
  <c r="AJ52" i="13"/>
  <c r="G52" i="13"/>
  <c r="H52" i="13"/>
  <c r="F52" i="13"/>
  <c r="E52" i="13" s="1"/>
  <c r="F44" i="13"/>
  <c r="G44" i="13"/>
  <c r="H44" i="13"/>
  <c r="AF44" i="13"/>
  <c r="X44" i="13"/>
  <c r="P44" i="13"/>
  <c r="W44" i="13"/>
  <c r="O44" i="13"/>
  <c r="V44" i="13"/>
  <c r="L44" i="13"/>
  <c r="J44" i="13"/>
  <c r="AC44" i="13"/>
  <c r="K44" i="13"/>
  <c r="AD44" i="13"/>
  <c r="T44" i="13"/>
  <c r="AE44" i="13"/>
  <c r="N44" i="13"/>
  <c r="I44" i="13"/>
  <c r="U44" i="13"/>
  <c r="AJ44" i="13"/>
  <c r="AB44" i="13"/>
  <c r="S44" i="13"/>
  <c r="AH44" i="13"/>
  <c r="Z44" i="13"/>
  <c r="R44" i="13"/>
  <c r="AI44" i="13"/>
  <c r="AA44" i="13"/>
  <c r="M44" i="13"/>
  <c r="AG44" i="13"/>
  <c r="Y44" i="13"/>
  <c r="Q44" i="13"/>
  <c r="U13" i="20" l="1"/>
  <c r="U13" i="2"/>
  <c r="AC13" i="20"/>
  <c r="AC13" i="2"/>
  <c r="AK13" i="20"/>
  <c r="AK13" i="2"/>
  <c r="Q13" i="20"/>
  <c r="Q13" i="2"/>
  <c r="AE13" i="20"/>
  <c r="AE13" i="2"/>
  <c r="AM13" i="20"/>
  <c r="AM13" i="2"/>
  <c r="V13" i="20"/>
  <c r="V13" i="2"/>
  <c r="AD13" i="20"/>
  <c r="AD13" i="2"/>
  <c r="AL13" i="20"/>
  <c r="AL13" i="2"/>
  <c r="W13" i="20"/>
  <c r="W13" i="2"/>
  <c r="AF13" i="20"/>
  <c r="AF13" i="2"/>
  <c r="AN13" i="20"/>
  <c r="AN13" i="2"/>
  <c r="Y13" i="20"/>
  <c r="Y13" i="2"/>
  <c r="M13" i="20"/>
  <c r="M13" i="2"/>
  <c r="R13" i="20"/>
  <c r="R13" i="2"/>
  <c r="AI13" i="20"/>
  <c r="AI13" i="2"/>
  <c r="X13" i="20"/>
  <c r="X13" i="2"/>
  <c r="AH13" i="20"/>
  <c r="AH13" i="2"/>
  <c r="O13" i="20"/>
  <c r="O13" i="2"/>
  <c r="AG13" i="20"/>
  <c r="AG13" i="2"/>
  <c r="N13" i="20"/>
  <c r="N13" i="2"/>
  <c r="P13" i="20"/>
  <c r="P13" i="2"/>
  <c r="Z13" i="20"/>
  <c r="Z13" i="2"/>
  <c r="S13" i="20"/>
  <c r="S13" i="2"/>
  <c r="AA13" i="20"/>
  <c r="AA13" i="2"/>
  <c r="T13" i="20"/>
  <c r="T13" i="2"/>
  <c r="AB13" i="20"/>
  <c r="AB13" i="2"/>
  <c r="AJ13" i="20"/>
  <c r="AJ13" i="2"/>
  <c r="L13" i="20"/>
  <c r="L13" i="2"/>
  <c r="K13" i="20"/>
  <c r="K13" i="2"/>
  <c r="J13" i="20"/>
  <c r="J13" i="2"/>
  <c r="D44" i="13"/>
  <c r="E44" i="13"/>
  <c r="C44" i="13"/>
  <c r="D13" i="2" l="1"/>
  <c r="F13" i="2"/>
  <c r="E13" i="20"/>
  <c r="D13" i="20"/>
  <c r="F13" i="20"/>
  <c r="E13" i="2"/>
  <c r="C13" i="2"/>
  <c r="C13" i="20"/>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E20" i="6"/>
  <c r="E22" i="6" s="1"/>
  <c r="K21" i="20" s="1"/>
  <c r="A8" i="6"/>
  <c r="A7" i="6"/>
  <c r="A6" i="6"/>
  <c r="E21" i="2" l="1"/>
  <c r="C21" i="2"/>
  <c r="D21" i="2"/>
  <c r="Z22" i="6"/>
  <c r="AE22" i="2" s="1"/>
  <c r="R22" i="6"/>
  <c r="W22" i="2" s="1"/>
  <c r="J22" i="6"/>
  <c r="O22" i="2" s="1"/>
  <c r="AG22" i="6"/>
  <c r="AL22" i="2" s="1"/>
  <c r="Y22" i="6"/>
  <c r="AD22" i="2" s="1"/>
  <c r="Q22" i="6"/>
  <c r="V22" i="2" s="1"/>
  <c r="I22" i="6"/>
  <c r="N22" i="2" s="1"/>
  <c r="H22" i="6"/>
  <c r="M22" i="2" s="1"/>
  <c r="P22" i="6"/>
  <c r="U22" i="2" s="1"/>
  <c r="AE22" i="6"/>
  <c r="AJ22" i="2" s="1"/>
  <c r="W22" i="6"/>
  <c r="AB22" i="2" s="1"/>
  <c r="O22" i="6"/>
  <c r="T22" i="2" s="1"/>
  <c r="G22" i="6"/>
  <c r="L22" i="2" s="1"/>
  <c r="X22" i="6"/>
  <c r="AC22" i="2" s="1"/>
  <c r="AD22" i="6"/>
  <c r="AI22" i="2" s="1"/>
  <c r="V22" i="6"/>
  <c r="AA22" i="2" s="1"/>
  <c r="N22" i="6"/>
  <c r="S22" i="2" s="1"/>
  <c r="F22" i="6"/>
  <c r="K22" i="2" s="1"/>
  <c r="AF22" i="6"/>
  <c r="AK22" i="2" s="1"/>
  <c r="AC22" i="6"/>
  <c r="AH22" i="2" s="1"/>
  <c r="U22" i="6"/>
  <c r="Z22" i="2" s="1"/>
  <c r="M22" i="6"/>
  <c r="R22" i="2" s="1"/>
  <c r="AB22" i="6"/>
  <c r="AG22" i="2" s="1"/>
  <c r="T22" i="6"/>
  <c r="Y22" i="2" s="1"/>
  <c r="L22" i="6"/>
  <c r="Q22" i="2" s="1"/>
  <c r="AH22" i="6"/>
  <c r="AM22" i="2" s="1"/>
  <c r="AN22" i="2"/>
  <c r="AA22" i="6"/>
  <c r="AF22" i="2" s="1"/>
  <c r="S22" i="6"/>
  <c r="X22" i="2" s="1"/>
  <c r="K22" i="6"/>
  <c r="P22" i="2" s="1"/>
  <c r="J22" i="2"/>
  <c r="D7" i="12"/>
  <c r="D30" i="9"/>
  <c r="D29" i="9"/>
  <c r="D28" i="9"/>
  <c r="D27" i="9"/>
  <c r="C29" i="9"/>
  <c r="C30" i="9"/>
  <c r="C27" i="9"/>
  <c r="N66" i="9" l="1"/>
  <c r="M66" i="9"/>
  <c r="L66" i="9"/>
  <c r="K66" i="9"/>
  <c r="J66" i="9"/>
  <c r="I66" i="9"/>
  <c r="O66" i="9"/>
  <c r="P66" i="9"/>
  <c r="Q66" i="9"/>
  <c r="R66" i="9"/>
  <c r="S66" i="9"/>
  <c r="T66" i="9"/>
  <c r="U66" i="9"/>
  <c r="V66" i="9"/>
  <c r="W66" i="9"/>
  <c r="X66" i="9"/>
  <c r="Y66" i="9"/>
  <c r="Z66" i="9"/>
  <c r="AA66" i="9"/>
  <c r="AB66" i="9"/>
  <c r="AC66" i="9"/>
  <c r="AD66" i="9"/>
  <c r="AE66" i="9"/>
  <c r="AF66" i="9"/>
  <c r="AG66" i="9"/>
  <c r="AH66" i="9"/>
  <c r="AI66" i="9"/>
  <c r="AJ66" i="9"/>
  <c r="AK66" i="9"/>
  <c r="AL66" i="9"/>
  <c r="AM66" i="9"/>
  <c r="N69" i="9"/>
  <c r="M69" i="9"/>
  <c r="L69" i="9"/>
  <c r="K69" i="9"/>
  <c r="J69" i="9"/>
  <c r="I69" i="9"/>
  <c r="O69" i="9"/>
  <c r="P69" i="9"/>
  <c r="Q69" i="9"/>
  <c r="R69" i="9"/>
  <c r="S69" i="9"/>
  <c r="T69" i="9"/>
  <c r="U69" i="9"/>
  <c r="V69" i="9"/>
  <c r="W69" i="9"/>
  <c r="X69" i="9"/>
  <c r="Y69" i="9"/>
  <c r="Z69" i="9"/>
  <c r="AA69" i="9"/>
  <c r="AB69" i="9"/>
  <c r="AC69" i="9"/>
  <c r="AD69" i="9"/>
  <c r="AE69" i="9"/>
  <c r="AF69" i="9"/>
  <c r="AG69" i="9"/>
  <c r="AH69" i="9"/>
  <c r="AI69" i="9"/>
  <c r="AJ69" i="9"/>
  <c r="AK69" i="9"/>
  <c r="AL69" i="9"/>
  <c r="AM69" i="9"/>
  <c r="N68" i="9"/>
  <c r="M68" i="9"/>
  <c r="L68" i="9"/>
  <c r="K68" i="9"/>
  <c r="J68" i="9"/>
  <c r="I68" i="9"/>
  <c r="O68" i="9"/>
  <c r="P68" i="9"/>
  <c r="Q68" i="9"/>
  <c r="R68" i="9"/>
  <c r="S68" i="9"/>
  <c r="T68" i="9"/>
  <c r="U68" i="9"/>
  <c r="V68" i="9"/>
  <c r="W68" i="9"/>
  <c r="X68" i="9"/>
  <c r="Y68" i="9"/>
  <c r="Z68" i="9"/>
  <c r="AA68" i="9"/>
  <c r="AB68" i="9"/>
  <c r="AC68" i="9"/>
  <c r="AD68" i="9"/>
  <c r="AE68" i="9"/>
  <c r="AF68" i="9"/>
  <c r="AG68" i="9"/>
  <c r="AH68" i="9"/>
  <c r="AI68" i="9"/>
  <c r="AJ68" i="9"/>
  <c r="AK68" i="9"/>
  <c r="AL68" i="9"/>
  <c r="AM68" i="9"/>
  <c r="AH21" i="20"/>
  <c r="AJ21" i="20"/>
  <c r="O21" i="20"/>
  <c r="Q21" i="20"/>
  <c r="S21" i="20"/>
  <c r="AD21" i="20"/>
  <c r="W21" i="20"/>
  <c r="Z21" i="20"/>
  <c r="N21" i="20"/>
  <c r="Y21" i="20"/>
  <c r="AE21" i="20"/>
  <c r="AI21" i="20"/>
  <c r="AM21" i="20"/>
  <c r="P21" i="20"/>
  <c r="AN21" i="20"/>
  <c r="L21" i="20"/>
  <c r="F21" i="20" s="1"/>
  <c r="B77" i="17" s="1"/>
  <c r="B78" i="17" s="1"/>
  <c r="AK21" i="20"/>
  <c r="X21" i="20"/>
  <c r="AB21" i="20"/>
  <c r="AA21" i="20"/>
  <c r="M21" i="20"/>
  <c r="AG21" i="20"/>
  <c r="U21" i="20"/>
  <c r="AL21" i="20"/>
  <c r="AC21" i="20"/>
  <c r="R21" i="20"/>
  <c r="T21" i="20"/>
  <c r="V21" i="20"/>
  <c r="AF21" i="20"/>
  <c r="E25" i="6"/>
  <c r="E26" i="6" s="1"/>
  <c r="G56" i="9"/>
  <c r="H56" i="9"/>
  <c r="I56" i="9"/>
  <c r="F56" i="9"/>
  <c r="G3" i="20" s="1"/>
  <c r="D22" i="2" l="1"/>
  <c r="D23" i="2" s="1"/>
  <c r="D5" i="17" s="1"/>
  <c r="E22" i="2"/>
  <c r="E23" i="2" s="1"/>
  <c r="B5" i="17" s="1"/>
  <c r="C22" i="2"/>
  <c r="C23" i="2" s="1"/>
  <c r="C5" i="17" s="1"/>
  <c r="D21" i="20"/>
  <c r="E21" i="20"/>
  <c r="C21" i="20"/>
  <c r="G3" i="2"/>
  <c r="J3" i="2"/>
  <c r="J3" i="20"/>
  <c r="I3" i="2"/>
  <c r="I3" i="20"/>
  <c r="H3" i="2"/>
  <c r="H3" i="20"/>
  <c r="C22" i="20" l="1"/>
  <c r="C14" i="17" s="1"/>
  <c r="D77" i="17"/>
  <c r="D78" i="17" s="1"/>
  <c r="E22" i="20"/>
  <c r="B14" i="17" s="1"/>
  <c r="C77" i="17"/>
  <c r="C78" i="17" s="1"/>
  <c r="D22" i="20"/>
  <c r="D14" i="17" s="1"/>
  <c r="E77" i="17"/>
  <c r="E78" i="17" s="1"/>
  <c r="H4" i="2"/>
  <c r="J12" i="12"/>
  <c r="J7" i="12"/>
  <c r="C13" i="13"/>
  <c r="F42" i="13" s="1"/>
  <c r="B13" i="13"/>
  <c r="B5" i="13"/>
  <c r="F43" i="13" s="1"/>
  <c r="C20" i="8"/>
  <c r="C19" i="8"/>
  <c r="C12" i="12"/>
  <c r="D11" i="12"/>
  <c r="D10" i="12"/>
  <c r="D9" i="12"/>
  <c r="D8" i="12"/>
  <c r="B8" i="12"/>
  <c r="B9" i="12" s="1"/>
  <c r="B10" i="12" s="1"/>
  <c r="B11" i="12" s="1"/>
  <c r="D12" i="12"/>
  <c r="J12" i="20" l="1"/>
  <c r="J12" i="2"/>
  <c r="J11" i="20"/>
  <c r="J11" i="2"/>
  <c r="AA43" i="13"/>
  <c r="AI43" i="13"/>
  <c r="AB43" i="13"/>
  <c r="AJ43" i="13"/>
  <c r="AC43" i="13"/>
  <c r="AD43" i="13"/>
  <c r="AE43" i="13"/>
  <c r="AF43" i="13"/>
  <c r="AG43" i="13"/>
  <c r="AH43" i="13"/>
  <c r="H43" i="13"/>
  <c r="P43" i="13"/>
  <c r="X43" i="13"/>
  <c r="Q43" i="13"/>
  <c r="Y43" i="13"/>
  <c r="R43" i="13"/>
  <c r="Z43" i="13"/>
  <c r="N43" i="13"/>
  <c r="W43" i="13"/>
  <c r="I43" i="13"/>
  <c r="G43" i="13"/>
  <c r="J43" i="13"/>
  <c r="O43" i="13"/>
  <c r="K43" i="13"/>
  <c r="S43" i="13"/>
  <c r="L43" i="13"/>
  <c r="T43" i="13"/>
  <c r="U43" i="13"/>
  <c r="V43" i="13"/>
  <c r="M43" i="13"/>
  <c r="J42" i="13"/>
  <c r="R42" i="13"/>
  <c r="Z42" i="13"/>
  <c r="AH42" i="13"/>
  <c r="U42" i="13"/>
  <c r="K42" i="13"/>
  <c r="S42" i="13"/>
  <c r="AA42" i="13"/>
  <c r="AI42" i="13"/>
  <c r="M42" i="13"/>
  <c r="AD42" i="13"/>
  <c r="L42" i="13"/>
  <c r="T42" i="13"/>
  <c r="AB42" i="13"/>
  <c r="AJ42" i="13"/>
  <c r="AC42" i="13"/>
  <c r="V42" i="13"/>
  <c r="Y42" i="13"/>
  <c r="N42" i="13"/>
  <c r="O42" i="13"/>
  <c r="W42" i="13"/>
  <c r="AE42" i="13"/>
  <c r="AF42" i="13"/>
  <c r="I42" i="13"/>
  <c r="H42" i="13"/>
  <c r="P42" i="13"/>
  <c r="X42" i="13"/>
  <c r="G42" i="13"/>
  <c r="Q42" i="13"/>
  <c r="AG42" i="13"/>
  <c r="G4" i="2"/>
  <c r="J4" i="2"/>
  <c r="I4" i="2"/>
  <c r="E7" i="12"/>
  <c r="E8" i="12" s="1"/>
  <c r="AK11" i="20" l="1"/>
  <c r="AK11" i="2"/>
  <c r="U11" i="20"/>
  <c r="U11" i="2"/>
  <c r="K11" i="20"/>
  <c r="K11" i="2"/>
  <c r="AB11" i="20"/>
  <c r="AB11" i="2"/>
  <c r="T11" i="20"/>
  <c r="T11" i="2"/>
  <c r="L11" i="20"/>
  <c r="L11" i="2"/>
  <c r="M11" i="20"/>
  <c r="M11" i="2"/>
  <c r="AJ11" i="20"/>
  <c r="AJ11" i="2"/>
  <c r="AI11" i="20"/>
  <c r="AI11" i="2"/>
  <c r="AA11" i="20"/>
  <c r="AA11" i="2"/>
  <c r="S11" i="20"/>
  <c r="S11" i="2"/>
  <c r="R11" i="20"/>
  <c r="R11" i="2"/>
  <c r="AC11" i="20"/>
  <c r="AC11" i="2"/>
  <c r="Z11" i="20"/>
  <c r="Z11" i="2"/>
  <c r="AG11" i="20"/>
  <c r="AG11" i="2"/>
  <c r="AN11" i="20"/>
  <c r="AN11" i="2"/>
  <c r="AF11" i="20"/>
  <c r="AF11" i="2"/>
  <c r="X11" i="20"/>
  <c r="X11" i="2"/>
  <c r="P11" i="20"/>
  <c r="P11" i="2"/>
  <c r="AH11" i="20"/>
  <c r="AH11" i="2"/>
  <c r="Q11" i="20"/>
  <c r="Q11" i="2"/>
  <c r="AM11" i="20"/>
  <c r="AM11" i="2"/>
  <c r="AE11" i="20"/>
  <c r="AE11" i="2"/>
  <c r="W11" i="20"/>
  <c r="W11" i="2"/>
  <c r="O11" i="20"/>
  <c r="O11" i="2"/>
  <c r="Y11" i="20"/>
  <c r="Y11" i="2"/>
  <c r="AL11" i="20"/>
  <c r="AL11" i="2"/>
  <c r="AD11" i="20"/>
  <c r="AD11" i="2"/>
  <c r="V11" i="20"/>
  <c r="V11" i="2"/>
  <c r="N11" i="20"/>
  <c r="N11" i="2"/>
  <c r="Q12" i="20"/>
  <c r="Q12" i="2"/>
  <c r="Z12" i="20"/>
  <c r="Z12" i="2"/>
  <c r="Y12" i="20"/>
  <c r="Y12" i="2"/>
  <c r="X12" i="20"/>
  <c r="X12" i="2"/>
  <c r="P12" i="20"/>
  <c r="P12" i="2"/>
  <c r="W12" i="20"/>
  <c r="W12" i="2"/>
  <c r="O12" i="20"/>
  <c r="O12" i="2"/>
  <c r="S12" i="20"/>
  <c r="S12" i="2"/>
  <c r="N12" i="20"/>
  <c r="N12" i="2"/>
  <c r="K12" i="20"/>
  <c r="K12" i="2"/>
  <c r="M12" i="20"/>
  <c r="M12" i="2"/>
  <c r="AA12" i="20"/>
  <c r="AA12" i="2"/>
  <c r="R12" i="20"/>
  <c r="R12" i="2"/>
  <c r="AD12" i="20"/>
  <c r="AD12" i="2"/>
  <c r="V12" i="20"/>
  <c r="V12" i="2"/>
  <c r="AC12" i="20"/>
  <c r="AC12" i="2"/>
  <c r="U12" i="20"/>
  <c r="U12" i="2"/>
  <c r="AB12" i="20"/>
  <c r="AB12" i="2"/>
  <c r="T12" i="20"/>
  <c r="T12" i="2"/>
  <c r="L12" i="20"/>
  <c r="L12" i="2"/>
  <c r="AL12" i="20"/>
  <c r="AL12" i="2"/>
  <c r="AK12" i="20"/>
  <c r="AK12" i="2"/>
  <c r="AJ12" i="20"/>
  <c r="AJ12" i="2"/>
  <c r="AI12" i="20"/>
  <c r="AI12" i="2"/>
  <c r="AH12" i="20"/>
  <c r="AH12" i="2"/>
  <c r="AG12" i="20"/>
  <c r="AG12" i="2"/>
  <c r="AN12" i="20"/>
  <c r="AN12" i="2"/>
  <c r="AF12" i="20"/>
  <c r="AF12" i="2"/>
  <c r="AM12" i="20"/>
  <c r="AM12" i="2"/>
  <c r="AE12" i="20"/>
  <c r="AE12" i="2"/>
  <c r="D11" i="2"/>
  <c r="F11" i="2"/>
  <c r="E11" i="20"/>
  <c r="D11" i="20"/>
  <c r="F11" i="20"/>
  <c r="D12" i="2"/>
  <c r="E56" i="17" s="1"/>
  <c r="F12" i="2"/>
  <c r="B56" i="17" s="1"/>
  <c r="E12" i="20"/>
  <c r="D12" i="20"/>
  <c r="F12" i="20"/>
  <c r="C43" i="13"/>
  <c r="C42" i="13"/>
  <c r="D42" i="13"/>
  <c r="E42" i="13"/>
  <c r="F8" i="12"/>
  <c r="E9" i="12"/>
  <c r="E10" i="12" s="1"/>
  <c r="G8" i="12"/>
  <c r="G7" i="12"/>
  <c r="F7" i="12"/>
  <c r="F10" i="12"/>
  <c r="G10" i="12"/>
  <c r="E11" i="12"/>
  <c r="B47" i="17" l="1"/>
  <c r="B40" i="17"/>
  <c r="B42" i="17" s="1"/>
  <c r="E47" i="17"/>
  <c r="E40" i="17"/>
  <c r="E42" i="17" s="1"/>
  <c r="C47" i="17"/>
  <c r="C40" i="17"/>
  <c r="C42" i="17" s="1"/>
  <c r="E12" i="2"/>
  <c r="C56" i="17" s="1"/>
  <c r="C12" i="2"/>
  <c r="D56" i="17" s="1"/>
  <c r="C12" i="20"/>
  <c r="C11" i="20"/>
  <c r="J56" i="9"/>
  <c r="J55" i="9"/>
  <c r="J54" i="9"/>
  <c r="J59" i="9"/>
  <c r="J58" i="9"/>
  <c r="J53" i="9"/>
  <c r="C11" i="2"/>
  <c r="E11" i="2"/>
  <c r="D43" i="13"/>
  <c r="E43" i="13"/>
  <c r="F9" i="12"/>
  <c r="I8" i="12"/>
  <c r="J8" i="12" s="1"/>
  <c r="G9" i="12"/>
  <c r="G11" i="12"/>
  <c r="F11" i="12"/>
  <c r="K4" i="2" l="1"/>
  <c r="K4" i="20"/>
  <c r="K8" i="2"/>
  <c r="K8" i="20"/>
  <c r="K9" i="2"/>
  <c r="K9" i="20"/>
  <c r="K5" i="2"/>
  <c r="K5" i="20"/>
  <c r="K6" i="2"/>
  <c r="K6" i="20"/>
  <c r="K3" i="20"/>
  <c r="K3" i="2"/>
  <c r="D47" i="17"/>
  <c r="D40" i="17"/>
  <c r="D42" i="17" s="1"/>
  <c r="M56" i="9"/>
  <c r="M55" i="9"/>
  <c r="M58" i="9"/>
  <c r="M59" i="9"/>
  <c r="M54" i="9"/>
  <c r="M53" i="9"/>
  <c r="K56" i="9"/>
  <c r="K55" i="9"/>
  <c r="K58" i="9"/>
  <c r="K59" i="9"/>
  <c r="K53" i="9"/>
  <c r="K54" i="9"/>
  <c r="I9" i="12"/>
  <c r="J9" i="12" s="1"/>
  <c r="I11" i="12"/>
  <c r="J11" i="12" s="1"/>
  <c r="I10" i="12"/>
  <c r="J10" i="12" s="1"/>
  <c r="L5" i="2" l="1"/>
  <c r="L5" i="20"/>
  <c r="L4" i="2"/>
  <c r="L4" i="20"/>
  <c r="L9" i="2"/>
  <c r="L9" i="20"/>
  <c r="L8" i="2"/>
  <c r="L8" i="20"/>
  <c r="L6" i="2"/>
  <c r="L6" i="20"/>
  <c r="L3" i="20"/>
  <c r="L3" i="2"/>
  <c r="N4" i="2"/>
  <c r="N4" i="20"/>
  <c r="N5" i="2"/>
  <c r="N5" i="20"/>
  <c r="N9" i="2"/>
  <c r="N9" i="20"/>
  <c r="N8" i="2"/>
  <c r="N8" i="20"/>
  <c r="N6" i="2"/>
  <c r="N6" i="20"/>
  <c r="N3" i="20"/>
  <c r="N3" i="2"/>
  <c r="L56" i="9"/>
  <c r="L55" i="9"/>
  <c r="L53" i="9"/>
  <c r="L58" i="9"/>
  <c r="L59" i="9"/>
  <c r="L54" i="9"/>
  <c r="N56" i="9"/>
  <c r="N55" i="9"/>
  <c r="N58" i="9"/>
  <c r="N59" i="9"/>
  <c r="N54" i="9"/>
  <c r="N53" i="9"/>
  <c r="O4" i="2" l="1"/>
  <c r="O4" i="20"/>
  <c r="O5" i="2"/>
  <c r="O5" i="20"/>
  <c r="O9" i="2"/>
  <c r="O9" i="20"/>
  <c r="O8" i="2"/>
  <c r="O8" i="20"/>
  <c r="O6" i="2"/>
  <c r="O6" i="20"/>
  <c r="O3" i="20"/>
  <c r="O3" i="2"/>
  <c r="M5" i="2"/>
  <c r="M5" i="20"/>
  <c r="M9" i="2"/>
  <c r="M9" i="20"/>
  <c r="M8" i="2"/>
  <c r="M8" i="20"/>
  <c r="M4" i="2"/>
  <c r="M4" i="20"/>
  <c r="M6" i="2"/>
  <c r="M6" i="20"/>
  <c r="M3" i="20"/>
  <c r="M3" i="2"/>
  <c r="O56" i="9"/>
  <c r="O55" i="9"/>
  <c r="O54" i="9"/>
  <c r="O58" i="9"/>
  <c r="O59" i="9"/>
  <c r="O53" i="9"/>
  <c r="P4" i="2" l="1"/>
  <c r="P4" i="20"/>
  <c r="P9" i="2"/>
  <c r="P9" i="20"/>
  <c r="P8" i="2"/>
  <c r="P8" i="20"/>
  <c r="P5" i="2"/>
  <c r="P5" i="20"/>
  <c r="P6" i="2"/>
  <c r="P6" i="20"/>
  <c r="P3" i="20"/>
  <c r="P3" i="2"/>
  <c r="P56" i="9"/>
  <c r="P55" i="9"/>
  <c r="P58" i="9"/>
  <c r="P54" i="9"/>
  <c r="P59" i="9"/>
  <c r="P53" i="9"/>
  <c r="Q4" i="2" l="1"/>
  <c r="Q4" i="20"/>
  <c r="Q9" i="2"/>
  <c r="Q9" i="20"/>
  <c r="Q5" i="2"/>
  <c r="Q5" i="20"/>
  <c r="Q8" i="2"/>
  <c r="Q8" i="20"/>
  <c r="Q6" i="2"/>
  <c r="Q6" i="20"/>
  <c r="Q3" i="20"/>
  <c r="Q3" i="2"/>
  <c r="Q56" i="9"/>
  <c r="Q55" i="9"/>
  <c r="Q54" i="9"/>
  <c r="Q58" i="9"/>
  <c r="Q59" i="9"/>
  <c r="Q53" i="9"/>
  <c r="R4" i="2" l="1"/>
  <c r="R4" i="20"/>
  <c r="R9" i="2"/>
  <c r="R9" i="20"/>
  <c r="R8" i="2"/>
  <c r="R8" i="20"/>
  <c r="R5" i="2"/>
  <c r="R5" i="20"/>
  <c r="R6" i="2"/>
  <c r="R6" i="20"/>
  <c r="R3" i="20"/>
  <c r="R3" i="2"/>
  <c r="R56" i="9"/>
  <c r="R55" i="9"/>
  <c r="R58" i="9"/>
  <c r="R59" i="9"/>
  <c r="R54" i="9"/>
  <c r="R53" i="9"/>
  <c r="S4" i="2" l="1"/>
  <c r="S4" i="20"/>
  <c r="S5" i="2"/>
  <c r="S5" i="20"/>
  <c r="S9" i="2"/>
  <c r="S9" i="20"/>
  <c r="S8" i="2"/>
  <c r="S8" i="20"/>
  <c r="S6" i="2"/>
  <c r="S6" i="20"/>
  <c r="S3" i="20"/>
  <c r="S3" i="2"/>
  <c r="S56" i="9"/>
  <c r="S55" i="9"/>
  <c r="S58" i="9"/>
  <c r="S54" i="9"/>
  <c r="S59" i="9"/>
  <c r="S53" i="9"/>
  <c r="T4" i="2" l="1"/>
  <c r="T4" i="20"/>
  <c r="T9" i="2"/>
  <c r="T9" i="20"/>
  <c r="T5" i="2"/>
  <c r="T5" i="20"/>
  <c r="T8" i="2"/>
  <c r="T8" i="20"/>
  <c r="T6" i="2"/>
  <c r="T6" i="20"/>
  <c r="T3" i="20"/>
  <c r="T3" i="2"/>
  <c r="T56" i="9"/>
  <c r="T55" i="9"/>
  <c r="T58" i="9"/>
  <c r="T59" i="9"/>
  <c r="T54" i="9"/>
  <c r="T53" i="9"/>
  <c r="D8" i="8"/>
  <c r="D9" i="8"/>
  <c r="D10" i="8"/>
  <c r="D11" i="8"/>
  <c r="D12" i="8"/>
  <c r="D13" i="8"/>
  <c r="D7" i="8"/>
  <c r="E14" i="8"/>
  <c r="C14" i="8"/>
  <c r="D2" i="8"/>
  <c r="C16" i="9"/>
  <c r="B62" i="9" s="1"/>
  <c r="B16" i="9"/>
  <c r="B8" i="9"/>
  <c r="U4" i="2" l="1"/>
  <c r="U4" i="20"/>
  <c r="U5" i="2"/>
  <c r="U5" i="20"/>
  <c r="U9" i="2"/>
  <c r="U9" i="20"/>
  <c r="U8" i="2"/>
  <c r="U8" i="20"/>
  <c r="U6" i="2"/>
  <c r="U6" i="20"/>
  <c r="U3" i="20"/>
  <c r="U3" i="2"/>
  <c r="U56" i="9"/>
  <c r="U55" i="9"/>
  <c r="U59" i="9"/>
  <c r="U58" i="9"/>
  <c r="U54" i="9"/>
  <c r="U53" i="9"/>
  <c r="I63" i="9"/>
  <c r="G63" i="9"/>
  <c r="F63" i="9"/>
  <c r="H63" i="9"/>
  <c r="M63" i="9"/>
  <c r="L63" i="9"/>
  <c r="K63" i="9"/>
  <c r="J63" i="9"/>
  <c r="N63" i="9"/>
  <c r="O63" i="9"/>
  <c r="P63" i="9"/>
  <c r="Q63" i="9"/>
  <c r="R63" i="9"/>
  <c r="S63" i="9"/>
  <c r="T63" i="9"/>
  <c r="U63" i="9"/>
  <c r="V4" i="2" l="1"/>
  <c r="V4" i="20"/>
  <c r="V5" i="2"/>
  <c r="V5" i="20"/>
  <c r="V8" i="2"/>
  <c r="V8" i="20"/>
  <c r="V9" i="2"/>
  <c r="V9" i="20"/>
  <c r="V6" i="2"/>
  <c r="V6" i="20"/>
  <c r="V3" i="20"/>
  <c r="V3" i="2"/>
  <c r="V56" i="9"/>
  <c r="V55" i="9"/>
  <c r="V58" i="9"/>
  <c r="V59" i="9"/>
  <c r="V53" i="9"/>
  <c r="V54" i="9"/>
  <c r="V63" i="9"/>
  <c r="I62" i="9"/>
  <c r="J7" i="20" s="1"/>
  <c r="F62" i="9"/>
  <c r="G7" i="20" s="1"/>
  <c r="G62" i="9"/>
  <c r="H7" i="20" s="1"/>
  <c r="H62" i="9"/>
  <c r="I7" i="20" s="1"/>
  <c r="K62" i="9"/>
  <c r="L7" i="20" s="1"/>
  <c r="L62" i="9"/>
  <c r="M7" i="20" s="1"/>
  <c r="O62" i="9"/>
  <c r="P7" i="20" s="1"/>
  <c r="N62" i="9"/>
  <c r="O7" i="20" s="1"/>
  <c r="J62" i="9"/>
  <c r="K7" i="20" s="1"/>
  <c r="M62" i="9"/>
  <c r="N7" i="20" s="1"/>
  <c r="P62" i="9"/>
  <c r="Q7" i="20" s="1"/>
  <c r="Q62" i="9"/>
  <c r="R7" i="20" s="1"/>
  <c r="R62" i="9"/>
  <c r="S7" i="20" s="1"/>
  <c r="S62" i="9"/>
  <c r="T7" i="20" s="1"/>
  <c r="T62" i="9"/>
  <c r="U7" i="20" s="1"/>
  <c r="U62" i="9"/>
  <c r="V7" i="20" s="1"/>
  <c r="V62" i="9"/>
  <c r="W7" i="20" s="1"/>
  <c r="W5" i="2" l="1"/>
  <c r="W5" i="20"/>
  <c r="W4" i="2"/>
  <c r="W4" i="20"/>
  <c r="W9" i="2"/>
  <c r="W9" i="20"/>
  <c r="W8" i="2"/>
  <c r="W8" i="20"/>
  <c r="W6" i="2"/>
  <c r="W6" i="20"/>
  <c r="W3" i="20"/>
  <c r="W3" i="2"/>
  <c r="W56" i="9"/>
  <c r="W55" i="9"/>
  <c r="W54" i="9"/>
  <c r="W58" i="9"/>
  <c r="W59" i="9"/>
  <c r="W53" i="9"/>
  <c r="W62" i="9"/>
  <c r="W63" i="9"/>
  <c r="X7" i="20" l="1"/>
  <c r="X4" i="2"/>
  <c r="X4" i="20"/>
  <c r="X9" i="2"/>
  <c r="X9" i="20"/>
  <c r="X8" i="2"/>
  <c r="X8" i="20"/>
  <c r="X5" i="2"/>
  <c r="X5" i="20"/>
  <c r="X6" i="2"/>
  <c r="X6" i="20"/>
  <c r="X3" i="20"/>
  <c r="X3" i="2"/>
  <c r="X56" i="9"/>
  <c r="X55" i="9"/>
  <c r="X58" i="9"/>
  <c r="X54" i="9"/>
  <c r="X59" i="9"/>
  <c r="X53" i="9"/>
  <c r="X63" i="9"/>
  <c r="X62" i="9"/>
  <c r="Y7" i="20" s="1"/>
  <c r="Y4" i="2" l="1"/>
  <c r="Y4" i="20"/>
  <c r="Y9" i="2"/>
  <c r="Y9" i="20"/>
  <c r="Y5" i="2"/>
  <c r="Y5" i="20"/>
  <c r="Y8" i="2"/>
  <c r="Y8" i="20"/>
  <c r="Y6" i="2"/>
  <c r="Y6" i="20"/>
  <c r="Y3" i="20"/>
  <c r="Y3" i="2"/>
  <c r="Y56" i="9"/>
  <c r="Y55" i="9"/>
  <c r="Y58" i="9"/>
  <c r="Y59" i="9"/>
  <c r="Y54" i="9"/>
  <c r="Y53" i="9"/>
  <c r="Y63" i="9"/>
  <c r="Y62" i="9"/>
  <c r="Z7" i="20" s="1"/>
  <c r="Z4" i="2" l="1"/>
  <c r="Z4" i="20"/>
  <c r="Z5" i="2"/>
  <c r="Z5" i="20"/>
  <c r="Z9" i="2"/>
  <c r="Z9" i="20"/>
  <c r="Z8" i="2"/>
  <c r="Z8" i="20"/>
  <c r="Z6" i="2"/>
  <c r="Z6" i="20"/>
  <c r="Z3" i="20"/>
  <c r="Z3" i="2"/>
  <c r="Z56" i="9"/>
  <c r="Z55" i="9"/>
  <c r="Z58" i="9"/>
  <c r="Z54" i="9"/>
  <c r="Z59" i="9"/>
  <c r="Z53" i="9"/>
  <c r="Z63" i="9"/>
  <c r="Z62" i="9"/>
  <c r="AA7" i="20" s="1"/>
  <c r="AA4" i="2" l="1"/>
  <c r="AA4" i="20"/>
  <c r="AA9" i="2"/>
  <c r="AA9" i="20"/>
  <c r="AA5" i="2"/>
  <c r="AA5" i="20"/>
  <c r="AA8" i="2"/>
  <c r="AA8" i="20"/>
  <c r="AA6" i="2"/>
  <c r="AA6" i="20"/>
  <c r="AA3" i="20"/>
  <c r="AA3" i="2"/>
  <c r="AA56" i="9"/>
  <c r="AA55" i="9"/>
  <c r="AA59" i="9"/>
  <c r="AA54" i="9"/>
  <c r="AA58" i="9"/>
  <c r="AA53" i="9"/>
  <c r="AA62" i="9"/>
  <c r="AA63" i="9"/>
  <c r="AB7" i="20" l="1"/>
  <c r="AB4" i="2"/>
  <c r="AB4" i="20"/>
  <c r="AB8" i="2"/>
  <c r="AB8" i="20"/>
  <c r="AB5" i="2"/>
  <c r="AB5" i="20"/>
  <c r="AB9" i="2"/>
  <c r="AB9" i="20"/>
  <c r="AB6" i="2"/>
  <c r="AB6" i="20"/>
  <c r="AB3" i="20"/>
  <c r="AB3" i="2"/>
  <c r="AB56" i="9"/>
  <c r="AB55" i="9"/>
  <c r="AB58" i="9"/>
  <c r="AB54" i="9"/>
  <c r="AB59" i="9"/>
  <c r="AB53" i="9"/>
  <c r="AB62" i="9"/>
  <c r="AB63" i="9"/>
  <c r="AC7" i="20" l="1"/>
  <c r="AC4" i="2"/>
  <c r="AC4" i="20"/>
  <c r="AC9" i="2"/>
  <c r="AC9" i="20"/>
  <c r="AC5" i="2"/>
  <c r="AC5" i="20"/>
  <c r="AC8" i="2"/>
  <c r="AC8" i="20"/>
  <c r="AC6" i="2"/>
  <c r="AC6" i="20"/>
  <c r="AC3" i="20"/>
  <c r="AC3" i="2"/>
  <c r="AC56" i="9"/>
  <c r="AC55" i="9"/>
  <c r="AC54" i="9"/>
  <c r="AC59" i="9"/>
  <c r="AC58" i="9"/>
  <c r="AC53" i="9"/>
  <c r="AC63" i="9"/>
  <c r="AC62" i="9"/>
  <c r="AD7" i="20" s="1"/>
  <c r="AD4" i="2" l="1"/>
  <c r="AD4" i="20"/>
  <c r="AD8" i="2"/>
  <c r="AD8" i="20"/>
  <c r="AD9" i="2"/>
  <c r="AD9" i="20"/>
  <c r="AD5" i="2"/>
  <c r="AD5" i="20"/>
  <c r="AD6" i="2"/>
  <c r="AD6" i="20"/>
  <c r="AD3" i="20"/>
  <c r="AD3" i="2"/>
  <c r="AD56" i="9"/>
  <c r="AD55" i="9"/>
  <c r="AD59" i="9"/>
  <c r="AD58" i="9"/>
  <c r="AD54" i="9"/>
  <c r="AD53" i="9"/>
  <c r="AD62" i="9"/>
  <c r="AD63" i="9"/>
  <c r="AE7" i="20" l="1"/>
  <c r="AE4" i="2"/>
  <c r="AE4" i="20"/>
  <c r="AE5" i="2"/>
  <c r="AE5" i="20"/>
  <c r="AE8" i="2"/>
  <c r="AE8" i="20"/>
  <c r="AE9" i="2"/>
  <c r="AE9" i="20"/>
  <c r="AE6" i="2"/>
  <c r="AE6" i="20"/>
  <c r="AE3" i="20"/>
  <c r="AE3" i="2"/>
  <c r="AE56" i="9"/>
  <c r="AE55" i="9"/>
  <c r="AE59" i="9"/>
  <c r="AE54" i="9"/>
  <c r="AE58" i="9"/>
  <c r="AE53" i="9"/>
  <c r="AE63" i="9"/>
  <c r="AE62" i="9"/>
  <c r="AF7" i="20" s="1"/>
  <c r="AF4" i="2" l="1"/>
  <c r="AF4" i="20"/>
  <c r="AF8" i="2"/>
  <c r="AF8" i="20"/>
  <c r="AF5" i="2"/>
  <c r="AF5" i="20"/>
  <c r="AF9" i="2"/>
  <c r="AF9" i="20"/>
  <c r="AF6" i="2"/>
  <c r="AF6" i="20"/>
  <c r="AF3" i="20"/>
  <c r="AF3" i="2"/>
  <c r="AF56" i="9"/>
  <c r="AF55" i="9"/>
  <c r="AF58" i="9"/>
  <c r="AF59" i="9"/>
  <c r="AF54" i="9"/>
  <c r="AF53" i="9"/>
  <c r="AF63" i="9"/>
  <c r="AF62" i="9"/>
  <c r="AG7" i="20" s="1"/>
  <c r="AG4" i="2" l="1"/>
  <c r="AG4" i="20"/>
  <c r="AG5" i="2"/>
  <c r="AG5" i="20"/>
  <c r="AG9" i="2"/>
  <c r="AG9" i="20"/>
  <c r="AG8" i="2"/>
  <c r="AG8" i="20"/>
  <c r="AG6" i="2"/>
  <c r="AG6" i="20"/>
  <c r="AG3" i="20"/>
  <c r="AG3" i="2"/>
  <c r="AG56" i="9"/>
  <c r="AG55" i="9"/>
  <c r="AG59" i="9"/>
  <c r="AG58" i="9"/>
  <c r="AG54" i="9"/>
  <c r="AG53" i="9"/>
  <c r="AG62" i="9"/>
  <c r="AG63" i="9"/>
  <c r="AH7" i="20" l="1"/>
  <c r="AH4" i="2"/>
  <c r="AH4" i="20"/>
  <c r="AH5" i="2"/>
  <c r="AH5" i="20"/>
  <c r="AH8" i="2"/>
  <c r="AH8" i="20"/>
  <c r="AH9" i="2"/>
  <c r="AH9" i="20"/>
  <c r="AH6" i="2"/>
  <c r="AH6" i="20"/>
  <c r="AH3" i="20"/>
  <c r="AH3" i="2"/>
  <c r="AH56" i="9"/>
  <c r="AH55" i="9"/>
  <c r="AH59" i="9"/>
  <c r="AH58" i="9"/>
  <c r="AH54" i="9"/>
  <c r="AH53" i="9"/>
  <c r="AH63" i="9"/>
  <c r="AH62" i="9"/>
  <c r="AI7" i="20" s="1"/>
  <c r="AI4" i="2" l="1"/>
  <c r="AI4" i="20"/>
  <c r="AI5" i="2"/>
  <c r="AI5" i="20"/>
  <c r="AI8" i="2"/>
  <c r="AI8" i="20"/>
  <c r="AI9" i="2"/>
  <c r="AI9" i="20"/>
  <c r="AI6" i="2"/>
  <c r="AI6" i="20"/>
  <c r="AI3" i="20"/>
  <c r="AI3" i="2"/>
  <c r="AI56" i="9"/>
  <c r="AI55" i="9"/>
  <c r="AI58" i="9"/>
  <c r="AI54" i="9"/>
  <c r="AI59" i="9"/>
  <c r="AI53" i="9"/>
  <c r="AI63" i="9"/>
  <c r="AI62" i="9"/>
  <c r="AJ7" i="20" s="1"/>
  <c r="AJ4" i="2" l="1"/>
  <c r="AJ4" i="20"/>
  <c r="AJ9" i="2"/>
  <c r="AJ9" i="20"/>
  <c r="AJ5" i="2"/>
  <c r="AJ5" i="20"/>
  <c r="AJ8" i="2"/>
  <c r="AJ8" i="20"/>
  <c r="AJ6" i="2"/>
  <c r="AJ6" i="20"/>
  <c r="AJ3" i="20"/>
  <c r="AJ3" i="2"/>
  <c r="AJ56" i="9"/>
  <c r="AJ55" i="9"/>
  <c r="AJ54" i="9"/>
  <c r="AJ59" i="9"/>
  <c r="AJ58" i="9"/>
  <c r="AJ53" i="9"/>
  <c r="AJ63" i="9"/>
  <c r="AJ62" i="9"/>
  <c r="AK7" i="20" s="1"/>
  <c r="AK4" i="2" l="1"/>
  <c r="AK4" i="20"/>
  <c r="AK8" i="2"/>
  <c r="AK8" i="20"/>
  <c r="AK9" i="2"/>
  <c r="AK9" i="20"/>
  <c r="AK5" i="2"/>
  <c r="AK5" i="20"/>
  <c r="AK6" i="2"/>
  <c r="AK6" i="20"/>
  <c r="AK3" i="20"/>
  <c r="AK3" i="2"/>
  <c r="AK56" i="9"/>
  <c r="AK55" i="9"/>
  <c r="AK54" i="9"/>
  <c r="AK58" i="9"/>
  <c r="AK59" i="9"/>
  <c r="AK53" i="9"/>
  <c r="AK63" i="9"/>
  <c r="AK62" i="9"/>
  <c r="AL7" i="20" s="1"/>
  <c r="AL4" i="2" l="1"/>
  <c r="AL4" i="20"/>
  <c r="AL9" i="2"/>
  <c r="AL9" i="20"/>
  <c r="AL8" i="2"/>
  <c r="AL8" i="20"/>
  <c r="AL5" i="2"/>
  <c r="AL5" i="20"/>
  <c r="AL6" i="2"/>
  <c r="AL6" i="20"/>
  <c r="AL3" i="20"/>
  <c r="AL3" i="2"/>
  <c r="AL56" i="9"/>
  <c r="AL55" i="9"/>
  <c r="AL53" i="9"/>
  <c r="AL58" i="9"/>
  <c r="AL59" i="9"/>
  <c r="AL54" i="9"/>
  <c r="AL62" i="9"/>
  <c r="AL63" i="9"/>
  <c r="AM7" i="20" l="1"/>
  <c r="AM5" i="2"/>
  <c r="AM5" i="20"/>
  <c r="AM9" i="2"/>
  <c r="AM9" i="20"/>
  <c r="AM8" i="2"/>
  <c r="AM8" i="20"/>
  <c r="AM4" i="2"/>
  <c r="AM4" i="20"/>
  <c r="AM6" i="2"/>
  <c r="AM6" i="20"/>
  <c r="AM3" i="20"/>
  <c r="AM3" i="2"/>
  <c r="AM56" i="9"/>
  <c r="AM55" i="9"/>
  <c r="AM54" i="9"/>
  <c r="AM59" i="9"/>
  <c r="AM58" i="9"/>
  <c r="AM53" i="9"/>
  <c r="AM63" i="9"/>
  <c r="AM62" i="9"/>
  <c r="AN7" i="20" s="1"/>
  <c r="AN4" i="2" l="1"/>
  <c r="AN4" i="20"/>
  <c r="AN8" i="2"/>
  <c r="AN8" i="20"/>
  <c r="AN9" i="2"/>
  <c r="AN9" i="20"/>
  <c r="C9" i="20" s="1"/>
  <c r="D32" i="17" s="1"/>
  <c r="AN5" i="2"/>
  <c r="AN5" i="20"/>
  <c r="AN6" i="2"/>
  <c r="AN6" i="20"/>
  <c r="AN3" i="20"/>
  <c r="AN3" i="2"/>
  <c r="F3" i="2"/>
  <c r="C3" i="2"/>
  <c r="C3" i="20"/>
  <c r="D28" i="17" s="1"/>
  <c r="E6" i="20"/>
  <c r="D6" i="20"/>
  <c r="F6" i="20"/>
  <c r="D6" i="2"/>
  <c r="F6" i="2"/>
  <c r="E4" i="20"/>
  <c r="C21" i="17" s="1"/>
  <c r="D4" i="20"/>
  <c r="E21" i="17" s="1"/>
  <c r="F4" i="20"/>
  <c r="B21" i="17" s="1"/>
  <c r="F4" i="2"/>
  <c r="D4" i="2"/>
  <c r="F8" i="20"/>
  <c r="B65" i="17" s="1"/>
  <c r="E8" i="20"/>
  <c r="C65" i="17" s="1"/>
  <c r="D8" i="20"/>
  <c r="E65" i="17" s="1"/>
  <c r="F8" i="2"/>
  <c r="D8" i="2"/>
  <c r="E9" i="20"/>
  <c r="C32" i="17" s="1"/>
  <c r="D9" i="20"/>
  <c r="E32" i="17" s="1"/>
  <c r="F9" i="20"/>
  <c r="F9" i="2"/>
  <c r="D9" i="2"/>
  <c r="E57" i="17" s="1"/>
  <c r="E5" i="20"/>
  <c r="C22" i="17" s="1"/>
  <c r="D5" i="20"/>
  <c r="E22" i="17" s="1"/>
  <c r="F5" i="20"/>
  <c r="F5" i="2"/>
  <c r="D5" i="2"/>
  <c r="E7" i="20"/>
  <c r="D7" i="20"/>
  <c r="F7" i="20"/>
  <c r="F3" i="20"/>
  <c r="B28" i="17" s="1"/>
  <c r="B57" i="17" l="1"/>
  <c r="B32" i="17"/>
  <c r="B48" i="17"/>
  <c r="B50" i="17" s="1"/>
  <c r="F17" i="20"/>
  <c r="B23" i="17"/>
  <c r="B24" i="17" s="1"/>
  <c r="E48" i="17"/>
  <c r="E50" i="17" s="1"/>
  <c r="E23" i="17"/>
  <c r="E24" i="17" s="1"/>
  <c r="C48" i="17"/>
  <c r="C50" i="17" s="1"/>
  <c r="C23" i="17"/>
  <c r="C24" i="17" s="1"/>
  <c r="C7" i="20"/>
  <c r="C9" i="2"/>
  <c r="D57" i="17" s="1"/>
  <c r="C5" i="2"/>
  <c r="C4" i="20"/>
  <c r="D21" i="17" s="1"/>
  <c r="E5" i="2"/>
  <c r="C8" i="2"/>
  <c r="E8" i="2"/>
  <c r="E6" i="2"/>
  <c r="C6" i="2"/>
  <c r="E9" i="2"/>
  <c r="C57" i="17" s="1"/>
  <c r="C4" i="2"/>
  <c r="E4" i="2"/>
  <c r="E3" i="20" l="1"/>
  <c r="C28" i="17" s="1"/>
  <c r="D3" i="20"/>
  <c r="E28" i="17" s="1"/>
  <c r="D3" i="2"/>
  <c r="D17" i="2" s="1"/>
  <c r="D4" i="17" s="1"/>
  <c r="E3" i="2"/>
  <c r="E17" i="2" s="1"/>
  <c r="B4" i="17" s="1"/>
  <c r="C17" i="2"/>
  <c r="C4" i="17" s="1"/>
  <c r="C6" i="20"/>
  <c r="C8" i="20"/>
  <c r="D65" i="17" s="1"/>
  <c r="C5" i="20"/>
  <c r="D22" i="17" s="1"/>
  <c r="D48" i="17" l="1"/>
  <c r="D50" i="17" s="1"/>
  <c r="D23" i="17"/>
  <c r="D24" i="17" s="1"/>
  <c r="C17" i="20"/>
  <c r="C13" i="17" s="1"/>
  <c r="C7" i="17"/>
  <c r="D6" i="17"/>
  <c r="D17" i="20"/>
  <c r="D13" i="17" s="1"/>
  <c r="B7" i="17"/>
  <c r="E17" i="20"/>
  <c r="B13" i="17" s="1"/>
  <c r="B16" i="17" s="1"/>
  <c r="C6" i="17" l="1"/>
  <c r="B6" i="17"/>
  <c r="D7" i="17"/>
  <c r="B15" i="17"/>
  <c r="D15" i="17"/>
  <c r="D16" i="17"/>
  <c r="C15" i="17"/>
  <c r="C16" i="17"/>
  <c r="D60" i="9" l="1"/>
  <c r="C60" i="9"/>
  <c r="E60" i="9"/>
  <c r="D53" i="9"/>
  <c r="C63" i="9"/>
  <c r="D54" i="9" l="1"/>
  <c r="E54" i="9"/>
  <c r="C54" i="9"/>
  <c r="D58" i="9"/>
  <c r="E58" i="9"/>
  <c r="C58" i="9"/>
  <c r="C59" i="9"/>
  <c r="E59" i="9"/>
  <c r="D59" i="9"/>
  <c r="D55" i="9"/>
  <c r="E55" i="9"/>
  <c r="C55" i="9"/>
  <c r="D63" i="9"/>
  <c r="E56" i="9"/>
  <c r="D56" i="9"/>
  <c r="C56" i="9"/>
  <c r="E63" i="9"/>
  <c r="C53" i="9"/>
  <c r="E53" i="9"/>
  <c r="D62" i="9"/>
  <c r="E62" i="9"/>
  <c r="C62" i="9"/>
</calcChain>
</file>

<file path=xl/sharedStrings.xml><?xml version="1.0" encoding="utf-8"?>
<sst xmlns="http://schemas.openxmlformats.org/spreadsheetml/2006/main" count="575" uniqueCount="339">
  <si>
    <t>Table 2 - Benefit Cost Summary</t>
  </si>
  <si>
    <t>Metric</t>
  </si>
  <si>
    <t>Nominal Sum</t>
  </si>
  <si>
    <t>Present Value (3%)</t>
  </si>
  <si>
    <t>Present Value (7%)</t>
  </si>
  <si>
    <t>Present Value of Benefits</t>
  </si>
  <si>
    <t>Present Value of Costs</t>
  </si>
  <si>
    <t>Net Present Value</t>
  </si>
  <si>
    <t>Benefit / Cost Ratio</t>
  </si>
  <si>
    <t>Table 2 - Benefit Cost Summary - Removes the shipping cost impacts</t>
  </si>
  <si>
    <t>Benefit Type</t>
  </si>
  <si>
    <t>Average Annual Value</t>
  </si>
  <si>
    <t>Nominal Value</t>
  </si>
  <si>
    <t>3% Discount Value</t>
  </si>
  <si>
    <t>7% Discount Value</t>
  </si>
  <si>
    <t>Avoided Fatal Crashes</t>
  </si>
  <si>
    <t>Avoided Crashes Causing Injury</t>
  </si>
  <si>
    <t>Avoided Property-Damage-Only Crashes</t>
  </si>
  <si>
    <t>Total</t>
  </si>
  <si>
    <t>Reduced Vehicle Miles Traveled</t>
  </si>
  <si>
    <t>Reduced Congestion</t>
  </si>
  <si>
    <t>Reduced Shipping Costs</t>
  </si>
  <si>
    <t>Reduced Vehicle Wear and Tear</t>
  </si>
  <si>
    <t>Reduced Road Wear and Tear</t>
  </si>
  <si>
    <t>STATE OF GOOD REPAIR</t>
  </si>
  <si>
    <t>Reduced Truck Maintenance Expenses</t>
  </si>
  <si>
    <t>Reduced Truck Accidents</t>
  </si>
  <si>
    <t>Reduced Road Maintenance Costs</t>
  </si>
  <si>
    <t>ECONOMIC COMPETITIVENESS</t>
  </si>
  <si>
    <t>Fuel Cost Savings</t>
  </si>
  <si>
    <t>Reduced traffic noise</t>
  </si>
  <si>
    <t>NOx</t>
  </si>
  <si>
    <t>SOx</t>
  </si>
  <si>
    <t>CO2</t>
  </si>
  <si>
    <t>PM2.5</t>
  </si>
  <si>
    <t>ENVIRONMENTAL SUSTAINABILITY</t>
  </si>
  <si>
    <t>VMT pollution reduction</t>
  </si>
  <si>
    <t>Pollution from increased vessels</t>
  </si>
  <si>
    <t>SAFETY</t>
  </si>
  <si>
    <t>Reduced injury accidents</t>
  </si>
  <si>
    <t>Reduced traffic fatalities</t>
  </si>
  <si>
    <t>Benefit</t>
  </si>
  <si>
    <t>Tab</t>
  </si>
  <si>
    <t>All Years (3%)</t>
  </si>
  <si>
    <t>All Years (7%)</t>
  </si>
  <si>
    <t>Average</t>
  </si>
  <si>
    <t>Reduced VMT - Air pollution</t>
  </si>
  <si>
    <t>Traffic_Reduced highway VMT</t>
  </si>
  <si>
    <t>Reduced VMT - Fatal Accidents Avoided</t>
  </si>
  <si>
    <t>Reduced VMT - Injury Accidents Avoided</t>
  </si>
  <si>
    <t>Reduced VMT - Property Damage Accidents Avoided</t>
  </si>
  <si>
    <t>Fuel Cost Savings - reduced VMT highway</t>
  </si>
  <si>
    <t>Reduced Noise</t>
  </si>
  <si>
    <t xml:space="preserve">Reduced Congestion </t>
  </si>
  <si>
    <t>Infrastructure Costs</t>
  </si>
  <si>
    <t>Vehicle Operating Costs Savings - inside port</t>
  </si>
  <si>
    <t>Traffic_Reduced port VMT</t>
  </si>
  <si>
    <t>Fuel Cost Savings - inside port</t>
  </si>
  <si>
    <t>Emissions reduction - inside port</t>
  </si>
  <si>
    <t>Reduced VMT - Fatal Accidents Avoided inside port</t>
  </si>
  <si>
    <t>Reduced VMT - Injury Accidents Avoided inside port</t>
  </si>
  <si>
    <t>Reduced VMT - Property Damage Accidents Avoided inside port</t>
  </si>
  <si>
    <t>Total (without Shipping cost savings)</t>
  </si>
  <si>
    <t>Costs</t>
  </si>
  <si>
    <t>Budgetary cost of bridge (includes estimated soft costs).</t>
  </si>
  <si>
    <t>Project Costs</t>
  </si>
  <si>
    <t>Increased Emissions - port activity</t>
  </si>
  <si>
    <t>Air Quality</t>
  </si>
  <si>
    <t>Shipping Cost Savings - reduced VMT highway</t>
  </si>
  <si>
    <t>Reduced VMT - inside port</t>
  </si>
  <si>
    <t>Description</t>
  </si>
  <si>
    <t>Average Fuel Efficiency (mpg)1</t>
  </si>
  <si>
    <t>Average Price of Gas2</t>
  </si>
  <si>
    <t>Reduced VMTs</t>
  </si>
  <si>
    <t xml:space="preserve">Source: </t>
  </si>
  <si>
    <t>1- Average of short and long wheel base light duty vehicles from: https://www.bts.gov/content/average-fuel-efficiency-us-light-duty-vehicles</t>
  </si>
  <si>
    <t>2 - Used the annual average price per gallon for the Central Atlantic Region for 2021 from: https://www.eia.gov/dnav/pet/pet_pri_gnd_a_epm0_pte_dpgal_a.htm</t>
  </si>
  <si>
    <t>Vehicle Operating Costs Savings</t>
  </si>
  <si>
    <t>Average Vehicle Operations Cost (Light Duty)</t>
  </si>
  <si>
    <t>Average Vehicle Operations Cost (Commercial)</t>
  </si>
  <si>
    <t>Source:</t>
  </si>
  <si>
    <t>BCA Guidance</t>
  </si>
  <si>
    <t>Reduction in Emissions from Reduced VMT</t>
  </si>
  <si>
    <t>Emission Type</t>
  </si>
  <si>
    <t>Amount Reduced (grams per mile, operational)</t>
  </si>
  <si>
    <t>Amount (metric tons)</t>
  </si>
  <si>
    <t>Amount Reduced (grams per mile, non-operational )</t>
  </si>
  <si>
    <t>Table 4-43:  Estimated National Average Vehicle Emissions Rates per Vehicle by Vehicle Type using Gasoline and Diesel (Grams per mile)</t>
  </si>
  <si>
    <t>CO2 - average passenger vehicle https://www.epa.gov/greenvehicles/greenhouse-gas-emissions-typical-passenger-vehicle</t>
  </si>
  <si>
    <t>Safety - reduction in accidents</t>
  </si>
  <si>
    <t>Non-Fatal Accidents per VMT</t>
  </si>
  <si>
    <t>Fatal accidents per VMT</t>
  </si>
  <si>
    <t>Property Damage Accidents per VMT</t>
  </si>
  <si>
    <t>Source: National Highway Traffic Safety Administration, Crash Stats</t>
  </si>
  <si>
    <t>On-Terminal VMT</t>
  </si>
  <si>
    <t>VMT/yr</t>
  </si>
  <si>
    <t>Saved VMT</t>
  </si>
  <si>
    <t>New VMT</t>
  </si>
  <si>
    <t>NOx annual values</t>
  </si>
  <si>
    <t xml:space="preserve"> </t>
  </si>
  <si>
    <t>CO2 annual values</t>
  </si>
  <si>
    <t>PM2.5 annual values</t>
  </si>
  <si>
    <t>Emissions reduction</t>
  </si>
  <si>
    <t>Fatal accidents avoided</t>
  </si>
  <si>
    <t>Non-Fatal accidents avoided</t>
  </si>
  <si>
    <t>Property Damage accidents avoided</t>
  </si>
  <si>
    <t>Reduced VMT - highway (as a result of more containers getting to Philadelphia, closer to their final destination)</t>
  </si>
  <si>
    <t>Reduced VMT</t>
  </si>
  <si>
    <t>Reference</t>
  </si>
  <si>
    <t>Annual Vehical Miles Traveled (VMT) Reduced - outside terminal</t>
  </si>
  <si>
    <t>hinterland study, provided by PhilaPort</t>
  </si>
  <si>
    <t>Unit Value (Metric ton)</t>
  </si>
  <si>
    <t>Amount Reduced (grams per mile, non-operational)</t>
  </si>
  <si>
    <t>n/a</t>
  </si>
  <si>
    <t>Reduced Oil Dependence/Consumption</t>
  </si>
  <si>
    <t>Assumptions</t>
  </si>
  <si>
    <t>Value</t>
  </si>
  <si>
    <t>Source</t>
  </si>
  <si>
    <t>Gallons/Barrel</t>
  </si>
  <si>
    <t>Government data provided at http://www.eia.doe.gov/dnav/pet/pet_pnp_pct_dc_nus_pct_m.htm</t>
  </si>
  <si>
    <t>Gasoline/Barrel</t>
  </si>
  <si>
    <t>Percent of Oil Imported (NOTE - the US was a net EXPORTER of petroleum in 2021)</t>
  </si>
  <si>
    <t>Government data provided at http://www.eia.gov/tools/faqs/faq.cfm?id=32&amp;t=6</t>
  </si>
  <si>
    <t>Diesel/Barrel</t>
  </si>
  <si>
    <t>Infrastructure costs</t>
  </si>
  <si>
    <t>40-50000 pounds with 5 axels</t>
  </si>
  <si>
    <t>https://www.cbo.gov/system/files/2019-10/55688-CBO-VMT-Tax.pdf</t>
  </si>
  <si>
    <t>50-60000 pounds with 5 axels</t>
  </si>
  <si>
    <t>Unit benefit (per VMT)</t>
  </si>
  <si>
    <t>VMT reduced</t>
  </si>
  <si>
    <t>Fatal Accidents Avoided</t>
  </si>
  <si>
    <t>Non-Fatal Accidents Avoided</t>
  </si>
  <si>
    <t>Property Damage Accidents Avoided</t>
  </si>
  <si>
    <t>Reduced Emissions</t>
  </si>
  <si>
    <t xml:space="preserve">Shipping Cost Savings </t>
  </si>
  <si>
    <t>Vehicle Operating Cost Savings</t>
  </si>
  <si>
    <t>Air Quality Costs</t>
  </si>
  <si>
    <t>Value of emissions (2021 values)</t>
  </si>
  <si>
    <t>Costs - increased emissions from expanded capacity</t>
  </si>
  <si>
    <t>OGV Emissions</t>
  </si>
  <si>
    <t>Calc</t>
  </si>
  <si>
    <t>NOx estimated cost</t>
  </si>
  <si>
    <t>CO2 estimated cost</t>
  </si>
  <si>
    <t>PM2.5 estimated cost</t>
  </si>
  <si>
    <t>Value of increased emissions</t>
  </si>
  <si>
    <t>Source: Benefit Cost Analysis Guidance for Discretionary Grant Programs, US DOT, March 2022</t>
  </si>
  <si>
    <t>USDOT recommends that applicants avoid any analysis periods extending beyond 30 years of full operations</t>
  </si>
  <si>
    <t>Safety/Injuries</t>
  </si>
  <si>
    <t>Traffic</t>
  </si>
  <si>
    <t>Inflation</t>
  </si>
  <si>
    <t>Table A-6: Damage Costs for Emissions per Metric Ton*</t>
  </si>
  <si>
    <t>Table A-1: Value of Reduced Fatalities and Injuries</t>
  </si>
  <si>
    <t>Table A-3: Value of Travel Time Savings</t>
  </si>
  <si>
    <t>Table A-7: Inflation Adjustment Values</t>
  </si>
  <si>
    <t>NOX</t>
  </si>
  <si>
    <t>SOX</t>
  </si>
  <si>
    <t>PM2.5**</t>
  </si>
  <si>
    <t>KABCO Level</t>
  </si>
  <si>
    <t>Monetized Value (2020 $)</t>
  </si>
  <si>
    <t>Recommended Hourly Values of Travel Time Savings (2020 $ per person-hour)</t>
  </si>
  <si>
    <t>Base Year of Nominal Dollar</t>
  </si>
  <si>
    <t>Multiplier to Adjust to Real 2020 $</t>
  </si>
  <si>
    <t>O – No Injury</t>
  </si>
  <si>
    <t>Category</t>
  </si>
  <si>
    <t>Hourly Value</t>
  </si>
  <si>
    <t>C – Possible Injury</t>
  </si>
  <si>
    <t>General Travel Time</t>
  </si>
  <si>
    <t>B – Non-incapacitating</t>
  </si>
  <si>
    <t>Business</t>
  </si>
  <si>
    <t>A – Incapacitating</t>
  </si>
  <si>
    <t>All Purposes</t>
  </si>
  <si>
    <t>K – Killed</t>
  </si>
  <si>
    <t>Commercial Vehicle Operators</t>
  </si>
  <si>
    <t>U – Injured (Severity Unknown)</t>
  </si>
  <si>
    <t>Truck Drivers</t>
  </si>
  <si>
    <t># Accidents Reported (Unknown if Injured)</t>
  </si>
  <si>
    <t>Bus Drivers</t>
  </si>
  <si>
    <t>Locomotive Engineers</t>
  </si>
  <si>
    <t>Crash Type</t>
  </si>
  <si>
    <r>
      <t>Injury Crash</t>
    </r>
    <r>
      <rPr>
        <vertAlign val="superscript"/>
        <sz val="11"/>
        <color theme="1"/>
        <rFont val="Calibri"/>
        <family val="2"/>
        <scheme val="minor"/>
      </rPr>
      <t>1</t>
    </r>
  </si>
  <si>
    <t>Table A-4: Average Vehicle Occupancy Rates for Highway Passenger Vehicles</t>
  </si>
  <si>
    <r>
      <t>Fatal Crash</t>
    </r>
    <r>
      <rPr>
        <vertAlign val="superscript"/>
        <sz val="11"/>
        <color theme="1"/>
        <rFont val="Calibri"/>
        <family val="2"/>
        <scheme val="minor"/>
      </rPr>
      <t>1</t>
    </r>
  </si>
  <si>
    <t>Vehicle Type</t>
  </si>
  <si>
    <t xml:space="preserve"> Average Occupancy</t>
  </si>
  <si>
    <t>1) Monetization values for injury crashes and fatal crashes are based on an estimate of approximately 1.44 injuries per injury crash and 1.09 fatalities per fatal crash, based on an average of the most recent five years of data in NHTSA’s National Crash Statistics. The fatal crash value is further adjusted for the average number of injuries per fatal crash.</t>
  </si>
  <si>
    <t>Passenger Vehicles (Weekday Peak)1</t>
  </si>
  <si>
    <t>Passenger Vehicles (Weekday Off-Peak)</t>
  </si>
  <si>
    <t>Table A-2: Property Damage Only (PDO) Crashes</t>
  </si>
  <si>
    <t>Passenger Vehicles (Weekend)</t>
  </si>
  <si>
    <t>Property Damage Only (PDO) Crashes</t>
  </si>
  <si>
    <t>Passenger Vehicles (All Travel)</t>
  </si>
  <si>
    <t>Recommended Montetized Value per vehicle ($2020)</t>
  </si>
  <si>
    <t>1) Weekday peak period values calculated for trips starting between 6:00 AM-8:59 AM and 4:00 PM-6:59 PM.</t>
  </si>
  <si>
    <t>Table A-5: Vehicle Operating Costs</t>
  </si>
  <si>
    <t xml:space="preserve">Vehicle Type </t>
  </si>
  <si>
    <t>Recommended Value per Mile (2020 $)</t>
  </si>
  <si>
    <t>Light Duty Vehicles1</t>
  </si>
  <si>
    <t>Commercial Trucks2</t>
  </si>
  <si>
    <t>1) Based on an average light duty vehicle and includes operating costs such as gasoline, maintenance, tires, and depreciation (assuming an average of 15,000 miles driven per year). The value omits other ownership costs that are mostly fixed or transfers (insurance, license, registration, taxes, and financing charges).</t>
  </si>
  <si>
    <t>2) Value includes fuel costs, truck/trailer lease or purchase payments, repair and maintenance, truck insurance premiums, permits and licenses, and tires. The value omits tolls (which are transfers), and driver wages and benefits (which are already included in the value of travel time savings).</t>
  </si>
  <si>
    <t>Table A-13: External Highway Use Costs: Noise and Congestion Values</t>
  </si>
  <si>
    <t>Recommended Value of Cost per Vehicle Mile Traveled (2020 $)1</t>
  </si>
  <si>
    <t>Vehicle Type and Location</t>
  </si>
  <si>
    <t>Congestion</t>
  </si>
  <si>
    <t>Noise</t>
  </si>
  <si>
    <t>Light-Duty Vehicles - Urban</t>
  </si>
  <si>
    <t>Light-Duty Vehicles - Rural</t>
  </si>
  <si>
    <t>Light-Duty Vehicles – All Locations</t>
  </si>
  <si>
    <t>Buses and Trucks - Urban</t>
  </si>
  <si>
    <t>Buses and Trucks - Rural</t>
  </si>
  <si>
    <t>Buses and Trucks – All
Locations</t>
  </si>
  <si>
    <t>All Vehicles - Urban</t>
  </si>
  <si>
    <t>All Vehicles - Rural</t>
  </si>
  <si>
    <t>All Vehicles – All Locations</t>
  </si>
  <si>
    <t>1) Congestion costs updated from the 1997 Highway Cost Allocation Study to reflect increased traffic volumes, changes in vehicle occupancy, and increases in the value of time per person-hour since that time. Both congestion and noise costs are also adjusted from 1994 dollars to 2020 dollars using the GDP deflator.</t>
  </si>
  <si>
    <t>Increased container capacity, estimated at approximately 50,000 containers, provides for more direct delivery of international goods to local consumers reducing Vehicles Miles Traveled: 1) inland transportation costs, 2) fossil fuel burn, 3) pollution emissions, 4) interstate traffic congestion, 5) highway fatalities, 6) highway maintenance and repairs, 7) the need for added lane miles, and 8) cargo damage.</t>
  </si>
  <si>
    <t>Improved flow of containers directly to and from Publicker reduces the need for today’s natural occurring double handling of containers in the PAMT container yard.  This saves approximately 1 mile of in-terminal distance travelled and 6 minutes expended per impacted container.  The connector bridge added flow capacity and faster transit time reduce cargo handling equipment emissions, equipment purchases and maintenance and repairs, safety, cargo damages, and overall operating costs.</t>
  </si>
  <si>
    <t>Decreased ocean carrier, railroad and trucker turn-times and lower terminal operating costs ultimately make The Port more competitive and attractive to logistics customers and improves Pennsylvania consumers’ cost of living.  It is estimated that vessels stevedored at the north half of the PAMT will turn approximately 1.4 hours sooner than today with 38 less hours of equipment operating time and 315 miles less travelled inside the terminal per call.</t>
  </si>
  <si>
    <t>impact - DIRECT mulitplier (jobs per $M)</t>
  </si>
  <si>
    <t>impact - INDIRECT mulitplier (jobs per $M)</t>
  </si>
  <si>
    <t>PAMT Connector Bridge Project – Project Budget by Project Component</t>
  </si>
  <si>
    <t>new PAMT jobs</t>
  </si>
  <si>
    <t>Project Component</t>
  </si>
  <si>
    <t>Estimate</t>
  </si>
  <si>
    <t>Sources</t>
  </si>
  <si>
    <t>Federal</t>
  </si>
  <si>
    <t>Non-Federal</t>
  </si>
  <si>
    <t>Demolition of Existing Trestle Bridge</t>
  </si>
  <si>
    <t>Impact - category</t>
  </si>
  <si>
    <t>Construction of New Bridge (Substructure/Superstructure)</t>
  </si>
  <si>
    <t>Construction Management /Inspection</t>
  </si>
  <si>
    <t>Total Costs</t>
  </si>
  <si>
    <t>Percentage of Project Costs</t>
  </si>
  <si>
    <t>Total indirect</t>
  </si>
  <si>
    <t>Professional, scientific, and technical services</t>
  </si>
  <si>
    <t>Construction</t>
  </si>
  <si>
    <t>Year</t>
  </si>
  <si>
    <t>Construction Expenditure</t>
  </si>
  <si>
    <t>Discount</t>
  </si>
  <si>
    <t>Societal Costs - Used for Benefit Cost Analysis</t>
  </si>
  <si>
    <t>1. e.g., Leef, George C, Prevailing Wage Laws: Public Interest or Special Interest Legislation?, Cato Journal, Vol. 30, No.1 (Winter 2010), http://www.cato.org/pubs/journal/cj30n1/cj30n1-7.pdf</t>
  </si>
  <si>
    <t>Construction start</t>
  </si>
  <si>
    <t>Construction end</t>
  </si>
  <si>
    <t>Crash Stats: Early Estimate of Motor Vehicle Traffic Fatalities for the First Half (January-June) of 2021 (dot.gov)</t>
  </si>
  <si>
    <t>2019 Data: Summary of Motor Vehicle Crashes (dot.gov)</t>
  </si>
  <si>
    <r>
      <rPr>
        <b/>
        <sz val="18"/>
        <color rgb="FF006FC0"/>
        <rFont val="Calibri"/>
        <family val="2"/>
      </rPr>
      <t>NATIONAL STATISTICS</t>
    </r>
  </si>
  <si>
    <t>National Statistics.pdf (nhtsa.gov)</t>
  </si>
  <si>
    <t>Fatality rate per 100 million VMt</t>
  </si>
  <si>
    <t>Injury rate per 100 million VMT</t>
  </si>
  <si>
    <r>
      <rPr>
        <b/>
        <sz val="12"/>
        <color rgb="FF006FC0"/>
        <rFont val="Calibri"/>
        <family val="2"/>
      </rPr>
      <t>POLICE-REPORTED MOTOR VEHICLE TRAFFIC CRASHES</t>
    </r>
  </si>
  <si>
    <t>Property damage only - reported</t>
  </si>
  <si>
    <t>VMT (Millions, annual)</t>
  </si>
  <si>
    <t>Property damage crashes per million VMT</t>
  </si>
  <si>
    <r>
      <rPr>
        <sz val="11"/>
        <rFont val="Calibri"/>
        <family val="2"/>
      </rPr>
      <t>Fatal</t>
    </r>
  </si>
  <si>
    <r>
      <rPr>
        <sz val="11"/>
        <rFont val="Calibri"/>
        <family val="2"/>
      </rPr>
      <t>Injury</t>
    </r>
  </si>
  <si>
    <r>
      <rPr>
        <sz val="11"/>
        <rFont val="Calibri"/>
        <family val="2"/>
      </rPr>
      <t>Property-Damage-Only</t>
    </r>
  </si>
  <si>
    <r>
      <rPr>
        <b/>
        <sz val="11"/>
        <rFont val="Calibri"/>
        <family val="2"/>
      </rPr>
      <t>Total</t>
    </r>
  </si>
  <si>
    <r>
      <rPr>
        <b/>
        <sz val="12"/>
        <color rgb="FF006FC0"/>
        <rFont val="Calibri"/>
        <family val="2"/>
      </rPr>
      <t>TRAFFIC CRASH VICTIMS: FATALITIES</t>
    </r>
  </si>
  <si>
    <r>
      <rPr>
        <b/>
        <sz val="11"/>
        <rFont val="Calibri"/>
        <family val="2"/>
      </rPr>
      <t>Occupants</t>
    </r>
  </si>
  <si>
    <r>
      <rPr>
        <sz val="11"/>
        <rFont val="Calibri"/>
        <family val="2"/>
      </rPr>
      <t>Drivers</t>
    </r>
  </si>
  <si>
    <r>
      <rPr>
        <sz val="11"/>
        <rFont val="Calibri"/>
        <family val="2"/>
      </rPr>
      <t>Passengers</t>
    </r>
  </si>
  <si>
    <r>
      <rPr>
        <sz val="11"/>
        <rFont val="Calibri"/>
        <family val="2"/>
      </rPr>
      <t>Unknown</t>
    </r>
  </si>
  <si>
    <r>
      <rPr>
        <b/>
        <sz val="11"/>
        <rFont val="Calibri"/>
        <family val="2"/>
      </rPr>
      <t>Motorcyclists</t>
    </r>
  </si>
  <si>
    <r>
      <rPr>
        <b/>
        <sz val="11"/>
        <rFont val="Calibri"/>
        <family val="2"/>
      </rPr>
      <t>Nonoccupants</t>
    </r>
  </si>
  <si>
    <r>
      <rPr>
        <sz val="11"/>
        <rFont val="Calibri"/>
        <family val="2"/>
      </rPr>
      <t>Pedestrians</t>
    </r>
  </si>
  <si>
    <t>2019-2016 average</t>
  </si>
  <si>
    <r>
      <rPr>
        <sz val="11"/>
        <rFont val="Calibri"/>
        <family val="2"/>
      </rPr>
      <t>Pedalcyclists</t>
    </r>
  </si>
  <si>
    <r>
      <rPr>
        <sz val="11"/>
        <rFont val="Calibri"/>
        <family val="2"/>
      </rPr>
      <t>Other/Unknown</t>
    </r>
  </si>
  <si>
    <r>
      <rPr>
        <b/>
        <sz val="12"/>
        <color rgb="FF006FC0"/>
        <rFont val="Calibri"/>
        <family val="2"/>
      </rPr>
      <t>TRAFFIC CRASH VICTIMS: INJURED</t>
    </r>
  </si>
  <si>
    <r>
      <rPr>
        <sz val="11"/>
        <rFont val="Calibri"/>
        <family val="2"/>
      </rPr>
      <t>*</t>
    </r>
  </si>
  <si>
    <r>
      <rPr>
        <b/>
        <sz val="12"/>
        <color rgb="FF006FC0"/>
        <rFont val="Calibri"/>
        <family val="2"/>
      </rPr>
      <t>OTHER NATIONAL STATISTICS</t>
    </r>
  </si>
  <si>
    <r>
      <rPr>
        <sz val="11"/>
        <rFont val="Calibri"/>
        <family val="2"/>
      </rPr>
      <t>Vehicle Miles Traveled (Millions)</t>
    </r>
  </si>
  <si>
    <r>
      <rPr>
        <sz val="11"/>
        <rFont val="Calibri"/>
        <family val="2"/>
      </rPr>
      <t>Resident Population</t>
    </r>
  </si>
  <si>
    <r>
      <rPr>
        <sz val="11"/>
        <rFont val="Calibri"/>
        <family val="2"/>
      </rPr>
      <t>Registered Vehicles</t>
    </r>
  </si>
  <si>
    <r>
      <rPr>
        <sz val="11"/>
        <rFont val="Calibri"/>
        <family val="2"/>
      </rPr>
      <t>Licensed Drivers</t>
    </r>
  </si>
  <si>
    <r>
      <rPr>
        <b/>
        <sz val="12"/>
        <color rgb="FF006FC0"/>
        <rFont val="Calibri"/>
        <family val="2"/>
      </rPr>
      <t>NATIONAL RATES: FATALITIES</t>
    </r>
  </si>
  <si>
    <r>
      <rPr>
        <sz val="11"/>
        <rFont val="Calibri"/>
        <family val="2"/>
      </rPr>
      <t>Fatalities per 100 Million Vehicle Miles Traveled</t>
    </r>
  </si>
  <si>
    <r>
      <rPr>
        <sz val="11"/>
        <rFont val="Calibri"/>
        <family val="2"/>
      </rPr>
      <t>Fatalities per 100,000 Population</t>
    </r>
  </si>
  <si>
    <r>
      <rPr>
        <sz val="11"/>
        <rFont val="Calibri"/>
        <family val="2"/>
      </rPr>
      <t>Fatalities per 100,000 Registered Vehicles</t>
    </r>
  </si>
  <si>
    <r>
      <rPr>
        <sz val="11"/>
        <rFont val="Calibri"/>
        <family val="2"/>
      </rPr>
      <t>Fatalities per 100,000 Licensed Drivers</t>
    </r>
  </si>
  <si>
    <r>
      <rPr>
        <b/>
        <sz val="12"/>
        <color rgb="FF006FC0"/>
        <rFont val="Calibri"/>
        <family val="2"/>
      </rPr>
      <t>NATIONAL RATES: INJURED PERSONS</t>
    </r>
  </si>
  <si>
    <r>
      <rPr>
        <sz val="11"/>
        <rFont val="Calibri"/>
        <family val="2"/>
      </rPr>
      <t>Injured Persons per 100 Million Vehicle Miles Traveled</t>
    </r>
  </si>
  <si>
    <r>
      <rPr>
        <sz val="11"/>
        <rFont val="Calibri"/>
        <family val="2"/>
      </rPr>
      <t>Injured Persons per 100,000 Population</t>
    </r>
  </si>
  <si>
    <r>
      <rPr>
        <sz val="11"/>
        <rFont val="Calibri"/>
        <family val="2"/>
      </rPr>
      <t>Injured Persons per 100,000 Registered Vehicles</t>
    </r>
  </si>
  <si>
    <r>
      <rPr>
        <sz val="11"/>
        <rFont val="Calibri"/>
        <family val="2"/>
      </rPr>
      <t>Injured Persons per 100,000 Licensed Drivers</t>
    </r>
  </si>
  <si>
    <r>
      <rPr>
        <sz val="11"/>
        <rFont val="Calibri"/>
        <family val="2"/>
      </rPr>
      <t>*Estimate less than 500.</t>
    </r>
  </si>
  <si>
    <r>
      <rPr>
        <sz val="11"/>
        <rFont val="Calibri"/>
        <family val="2"/>
      </rPr>
      <t>Sources: Crashes, Fatalities, Injured, and Costs - National Highway Traffic Safety Administration.</t>
    </r>
  </si>
  <si>
    <r>
      <rPr>
        <sz val="11"/>
        <rFont val="Calibri"/>
        <family val="2"/>
      </rPr>
      <t>Population – U.S. Bureau of the Census.</t>
    </r>
  </si>
  <si>
    <r>
      <rPr>
        <sz val="11"/>
        <rFont val="Calibri"/>
        <family val="2"/>
      </rPr>
      <t>Vehicle Miles Traveled and Licensed Drivers – Federal Highway Administration (FHWA).</t>
    </r>
  </si>
  <si>
    <r>
      <rPr>
        <sz val="11"/>
        <rFont val="Calibri"/>
        <family val="2"/>
      </rPr>
      <t>Registered Vehicles - FHWA and Polk data from R.L Polk &amp; Co., a foundation of IHS Markit automotive solutions.</t>
    </r>
  </si>
  <si>
    <r>
      <rPr>
        <i/>
        <sz val="9"/>
        <rFont val="Calibri"/>
        <family val="2"/>
      </rPr>
      <t>Traffic Safey Facts Annual Report, May 2021</t>
    </r>
  </si>
  <si>
    <t>Project Capacity (CUs)</t>
  </si>
  <si>
    <t>Philaport</t>
  </si>
  <si>
    <t>AVG VMTs</t>
  </si>
  <si>
    <t>[hinterlandanalysis_truckrates_VMT.xlsx]detail!P52</t>
  </si>
  <si>
    <t>AVG Savings CU</t>
  </si>
  <si>
    <t>[hinterlandanalysis_truckrates_VMT.xlsx]detail!T52</t>
  </si>
  <si>
    <t>Capture limit</t>
  </si>
  <si>
    <t>Hatch Processing</t>
  </si>
  <si>
    <t xml:space="preserve">YR </t>
  </si>
  <si>
    <t>Capture %</t>
  </si>
  <si>
    <t>Capture (CUs)</t>
  </si>
  <si>
    <t>Cumulative (CUs)</t>
  </si>
  <si>
    <t>Reduced VMTs/ year</t>
  </si>
  <si>
    <t>Savings yr.</t>
  </si>
  <si>
    <t>Reduced VMTs/ year growth rate YOY</t>
  </si>
  <si>
    <t>Adjuster</t>
  </si>
  <si>
    <t>Growth after year 5</t>
  </si>
  <si>
    <t>Avg VMT/CU----&gt;</t>
  </si>
  <si>
    <t>The budgetary cost for this two-lane bridge is $14.9M</t>
  </si>
  <si>
    <t xml:space="preserve">This cost does not include design, construction management or inspection. </t>
  </si>
  <si>
    <t>Project timeline (years)</t>
  </si>
  <si>
    <t>Estimated construction duration is 60 weeks.</t>
  </si>
  <si>
    <t>No.</t>
  </si>
  <si>
    <t>Item</t>
  </si>
  <si>
    <t>Cost Estimate</t>
  </si>
  <si>
    <t>Four Lane Option</t>
  </si>
  <si>
    <t>Mobilization/Demobilization</t>
  </si>
  <si>
    <t>Demolition</t>
  </si>
  <si>
    <t>Sub-Structure</t>
  </si>
  <si>
    <t>Super-Structure</t>
  </si>
  <si>
    <t>Electrical</t>
  </si>
  <si>
    <t>Permits</t>
  </si>
  <si>
    <t>Contingency</t>
  </si>
  <si>
    <t>Estimate does not include costs for Engineering, Construction Management or Inspection.</t>
  </si>
  <si>
    <t>Estimated construction duration 57-60 weeks.</t>
  </si>
  <si>
    <t>Soft Costs</t>
  </si>
  <si>
    <t>Assumption (% of hard costs)</t>
  </si>
  <si>
    <t>Total with Soft Costs</t>
  </si>
  <si>
    <t>Safety Benefit Cost Summary</t>
  </si>
  <si>
    <t>Environmental Sustainability Benefit Cost Summary</t>
  </si>
  <si>
    <t>Quality of Life Benefit Cost Summary</t>
  </si>
  <si>
    <t>Economic Competitiveness Benefit Cost Summary</t>
  </si>
  <si>
    <t>State of Good Repair Benefit Cost Summary</t>
  </si>
  <si>
    <t>Direct</t>
  </si>
  <si>
    <t>Jobs generated</t>
  </si>
  <si>
    <t>Job Impacts</t>
  </si>
  <si>
    <t>Updated employment multipliers for the U.S. economy | Economic Policy Institute (epi.org)</t>
  </si>
  <si>
    <t>Improved Mobility and Community Connectivity Benefit Cost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</si>
</sst>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 numFmtId="166" formatCode="_(&quot;$&quot;* #,##0.0000_);_(&quot;$&quot;* \(#,##0.0000\);_(&quot;$&quot;* &quot;-&quot;??_);_(@_)"/>
    <numFmt numFmtId="167" formatCode="&quot;$&quot;#,##0.00"/>
    <numFmt numFmtId="168" formatCode="_(&quot;$&quot;* #,##0_);_(&quot;$&quot;* \(#,##0\);_(&quot;$&quot;* &quot;-&quot;??_);_(@_)"/>
    <numFmt numFmtId="169" formatCode="0.0000000000000"/>
    <numFmt numFmtId="170" formatCode="###0.00_)"/>
    <numFmt numFmtId="171" formatCode="0.0_W"/>
    <numFmt numFmtId="172" formatCode="0.000"/>
    <numFmt numFmtId="173" formatCode="0.0"/>
  </numFmts>
  <fonts count="34"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vertAlign val="superscript"/>
      <sz val="11"/>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11"/>
      <color theme="0" tint="-0.499984740745262"/>
      <name val="Calibri"/>
      <family val="2"/>
      <scheme val="minor"/>
    </font>
    <font>
      <b/>
      <sz val="11"/>
      <color rgb="FFFF0000"/>
      <name val="Calibri"/>
      <family val="2"/>
      <scheme val="minor"/>
    </font>
    <font>
      <sz val="10"/>
      <name val="Arial"/>
      <family val="2"/>
    </font>
    <font>
      <sz val="9"/>
      <name val="Helv"/>
    </font>
    <font>
      <vertAlign val="superscript"/>
      <sz val="12"/>
      <name val="Helv"/>
    </font>
    <font>
      <sz val="10"/>
      <name val="Helv"/>
    </font>
    <font>
      <sz val="8"/>
      <name val="Helv"/>
    </font>
    <font>
      <b/>
      <sz val="9"/>
      <name val="Helv"/>
    </font>
    <font>
      <b/>
      <sz val="10"/>
      <name val="Helv"/>
    </font>
    <font>
      <sz val="12"/>
      <name val="Helv"/>
    </font>
    <font>
      <b/>
      <sz val="14"/>
      <name val="Helv"/>
    </font>
    <font>
      <b/>
      <sz val="12"/>
      <name val="Helv"/>
    </font>
    <font>
      <sz val="11"/>
      <name val="Arial Narrow"/>
      <family val="2"/>
    </font>
    <font>
      <b/>
      <sz val="18"/>
      <name val="Calibri"/>
      <family val="2"/>
    </font>
    <font>
      <b/>
      <sz val="18"/>
      <color rgb="FF006FC0"/>
      <name val="Calibri"/>
      <family val="2"/>
    </font>
    <font>
      <b/>
      <sz val="12"/>
      <color rgb="FF006FC0"/>
      <name val="Calibri"/>
      <family val="2"/>
    </font>
    <font>
      <b/>
      <sz val="12"/>
      <name val="Calibri"/>
      <family val="2"/>
    </font>
    <font>
      <sz val="11"/>
      <name val="Calibri"/>
      <family val="2"/>
    </font>
    <font>
      <sz val="11"/>
      <color rgb="FF000000"/>
      <name val="Calibri"/>
      <family val="2"/>
    </font>
    <font>
      <b/>
      <sz val="11"/>
      <name val="Calibri"/>
      <family val="2"/>
    </font>
    <font>
      <i/>
      <sz val="9"/>
      <name val="Calibri"/>
      <family val="2"/>
    </font>
    <font>
      <sz val="11"/>
      <color theme="1"/>
      <name val="Arial"/>
      <family val="2"/>
    </font>
    <font>
      <b/>
      <sz val="11"/>
      <name val="Calibri"/>
      <family val="2"/>
      <scheme val="minor"/>
    </font>
    <font>
      <b/>
      <sz val="10"/>
      <color rgb="FFFFFFFF"/>
      <name val="Calibri"/>
      <family val="2"/>
      <charset val="1"/>
    </font>
    <font>
      <sz val="10"/>
      <color rgb="FF000000"/>
      <name val="Calibri"/>
      <family val="2"/>
      <charset val="1"/>
    </font>
    <font>
      <b/>
      <sz val="10"/>
      <color rgb="FF000000"/>
      <name val="Calibri"/>
      <family val="2"/>
      <charset val="1"/>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bgColor indexed="64"/>
      </patternFill>
    </fill>
    <fill>
      <patternFill patternType="solid">
        <fgColor indexed="22"/>
        <bgColor indexed="9"/>
      </patternFill>
    </fill>
    <fill>
      <patternFill patternType="solid">
        <fgColor indexed="22"/>
        <bgColor indexed="55"/>
      </patternFill>
    </fill>
    <fill>
      <patternFill patternType="solid">
        <fgColor theme="2"/>
        <bgColor indexed="64"/>
      </patternFill>
    </fill>
    <fill>
      <patternFill patternType="solid">
        <fgColor theme="8"/>
        <bgColor indexed="64"/>
      </patternFill>
    </fill>
    <fill>
      <patternFill patternType="solid">
        <fgColor rgb="FF4472C4"/>
        <bgColor indexed="64"/>
      </patternFill>
    </fill>
    <fill>
      <patternFill patternType="solid">
        <fgColor rgb="FFB4C6E7"/>
        <bgColor indexed="64"/>
      </patternFill>
    </fill>
    <fill>
      <patternFill patternType="solid">
        <fgColor rgb="FFD9E2F3"/>
        <bgColor indexed="64"/>
      </patternFill>
    </fill>
  </fills>
  <borders count="2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22"/>
      </bottom>
      <diagonal/>
    </border>
    <border>
      <left/>
      <right/>
      <top/>
      <bottom style="hair">
        <color indexed="8"/>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s>
  <cellStyleXfs count="3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10" fillId="0" borderId="0"/>
    <xf numFmtId="3" fontId="11" fillId="0" borderId="14" applyAlignment="0">
      <alignment horizontal="right" vertical="center"/>
    </xf>
    <xf numFmtId="49" fontId="12" fillId="0" borderId="14">
      <alignment horizontal="left" vertical="center"/>
    </xf>
    <xf numFmtId="170" fontId="13" fillId="0" borderId="15" applyNumberFormat="0">
      <alignment horizontal="right" vertical="center"/>
    </xf>
    <xf numFmtId="171" fontId="13" fillId="0" borderId="14">
      <alignment horizontal="right"/>
    </xf>
    <xf numFmtId="0" fontId="15" fillId="0" borderId="14">
      <alignment horizontal="left"/>
    </xf>
    <xf numFmtId="0" fontId="15" fillId="0" borderId="16">
      <alignment horizontal="right" vertical="center"/>
    </xf>
    <xf numFmtId="0" fontId="13" fillId="0" borderId="14">
      <alignment horizontal="left" vertical="center"/>
    </xf>
    <xf numFmtId="0" fontId="16" fillId="0" borderId="16">
      <alignment horizontal="left" vertical="center"/>
    </xf>
    <xf numFmtId="0" fontId="16" fillId="5" borderId="0">
      <alignment horizontal="centerContinuous" wrapText="1"/>
    </xf>
    <xf numFmtId="0" fontId="2" fillId="0" borderId="0"/>
    <xf numFmtId="0" fontId="14" fillId="0" borderId="0">
      <alignment horizontal="right"/>
    </xf>
    <xf numFmtId="0" fontId="12" fillId="0" borderId="0">
      <alignment horizontal="right"/>
    </xf>
    <xf numFmtId="0" fontId="14" fillId="0" borderId="0">
      <alignment horizontal="left"/>
    </xf>
    <xf numFmtId="49" fontId="12" fillId="0" borderId="14">
      <alignment horizontal="left" vertical="center"/>
    </xf>
    <xf numFmtId="49" fontId="17" fillId="0" borderId="14" applyFill="0">
      <alignment horizontal="left" vertical="center"/>
    </xf>
    <xf numFmtId="49" fontId="12" fillId="0" borderId="16">
      <alignment horizontal="left" vertical="center"/>
    </xf>
    <xf numFmtId="170" fontId="11" fillId="0" borderId="0" applyNumberFormat="0">
      <alignment horizontal="right"/>
    </xf>
    <xf numFmtId="0" fontId="15" fillId="6" borderId="0">
      <alignment horizontal="centerContinuous" vertical="center" wrapText="1"/>
    </xf>
    <xf numFmtId="0" fontId="15" fillId="0" borderId="15">
      <alignment horizontal="left" vertical="center"/>
    </xf>
    <xf numFmtId="0" fontId="18" fillId="0" borderId="0">
      <alignment horizontal="left" vertical="top"/>
    </xf>
    <xf numFmtId="0" fontId="16" fillId="0" borderId="0">
      <alignment horizontal="left"/>
    </xf>
    <xf numFmtId="0" fontId="19" fillId="0" borderId="0">
      <alignment horizontal="left"/>
    </xf>
    <xf numFmtId="0" fontId="13" fillId="0" borderId="0">
      <alignment horizontal="left"/>
    </xf>
    <xf numFmtId="0" fontId="18" fillId="0" borderId="0">
      <alignment horizontal="left" vertical="top"/>
    </xf>
    <xf numFmtId="0" fontId="19" fillId="0" borderId="0">
      <alignment horizontal="left"/>
    </xf>
    <xf numFmtId="0" fontId="13" fillId="0" borderId="0">
      <alignment horizontal="left"/>
    </xf>
    <xf numFmtId="49" fontId="11" fillId="0" borderId="14">
      <alignment horizontal="left"/>
    </xf>
    <xf numFmtId="0" fontId="15" fillId="0" borderId="16">
      <alignment horizontal="left"/>
    </xf>
    <xf numFmtId="0" fontId="16" fillId="0" borderId="0">
      <alignment horizontal="left" vertical="center"/>
    </xf>
  </cellStyleXfs>
  <cellXfs count="127">
    <xf numFmtId="0" fontId="0" fillId="0" borderId="0" xfId="0"/>
    <xf numFmtId="44" fontId="0" fillId="0" borderId="2" xfId="2" applyFont="1" applyBorder="1"/>
    <xf numFmtId="0" fontId="0" fillId="0" borderId="2" xfId="0" applyBorder="1"/>
    <xf numFmtId="44" fontId="0" fillId="0" borderId="0" xfId="0" applyNumberFormat="1"/>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justify" vertical="center" wrapText="1"/>
    </xf>
    <xf numFmtId="0" fontId="0" fillId="0" borderId="0" xfId="0" applyAlignment="1">
      <alignment wrapText="1"/>
    </xf>
    <xf numFmtId="3" fontId="0" fillId="0" borderId="0" xfId="0" applyNumberFormat="1"/>
    <xf numFmtId="0" fontId="3" fillId="0" borderId="3" xfId="0" applyFont="1" applyBorder="1"/>
    <xf numFmtId="165" fontId="0" fillId="0" borderId="0" xfId="0" applyNumberFormat="1"/>
    <xf numFmtId="0" fontId="3" fillId="0" borderId="2" xfId="0" applyFont="1" applyBorder="1"/>
    <xf numFmtId="164" fontId="0" fillId="0" borderId="0" xfId="1" applyNumberFormat="1" applyFont="1"/>
    <xf numFmtId="8" fontId="0" fillId="0" borderId="2" xfId="0" applyNumberFormat="1" applyBorder="1"/>
    <xf numFmtId="0" fontId="3" fillId="0" borderId="0" xfId="0" applyFont="1"/>
    <xf numFmtId="44" fontId="0" fillId="0" borderId="0" xfId="2" applyFont="1" applyBorder="1"/>
    <xf numFmtId="8" fontId="0" fillId="0" borderId="0" xfId="0" applyNumberFormat="1"/>
    <xf numFmtId="166" fontId="0" fillId="0" borderId="2" xfId="0" applyNumberFormat="1" applyBorder="1"/>
    <xf numFmtId="165" fontId="0" fillId="0" borderId="2" xfId="0" applyNumberFormat="1" applyBorder="1"/>
    <xf numFmtId="6" fontId="0" fillId="0" borderId="2" xfId="0" applyNumberFormat="1" applyBorder="1"/>
    <xf numFmtId="0" fontId="5" fillId="0" borderId="0" xfId="3"/>
    <xf numFmtId="6" fontId="0" fillId="0" borderId="0" xfId="0" applyNumberFormat="1"/>
    <xf numFmtId="44" fontId="0" fillId="0" borderId="0" xfId="2" applyFont="1"/>
    <xf numFmtId="2" fontId="0" fillId="0" borderId="0" xfId="0" applyNumberFormat="1"/>
    <xf numFmtId="1" fontId="0" fillId="0" borderId="0" xfId="0" applyNumberFormat="1"/>
    <xf numFmtId="167" fontId="0" fillId="0" borderId="0" xfId="0" applyNumberFormat="1"/>
    <xf numFmtId="44" fontId="3" fillId="0" borderId="0" xfId="0" applyNumberFormat="1" applyFont="1"/>
    <xf numFmtId="9" fontId="0" fillId="0" borderId="0" xfId="0" applyNumberFormat="1"/>
    <xf numFmtId="9" fontId="0" fillId="0" borderId="0" xfId="4" applyFont="1"/>
    <xf numFmtId="0" fontId="8" fillId="0" borderId="5" xfId="0" applyFont="1" applyBorder="1"/>
    <xf numFmtId="0" fontId="8" fillId="0" borderId="0" xfId="0" applyFont="1"/>
    <xf numFmtId="6" fontId="8" fillId="0" borderId="0" xfId="0" applyNumberFormat="1" applyFont="1"/>
    <xf numFmtId="9" fontId="8" fillId="0" borderId="0" xfId="4" applyFont="1" applyFill="1"/>
    <xf numFmtId="0" fontId="3" fillId="0" borderId="0" xfId="0" applyFont="1" applyAlignment="1">
      <alignment horizontal="right"/>
    </xf>
    <xf numFmtId="164" fontId="3" fillId="3" borderId="0" xfId="1" applyNumberFormat="1" applyFont="1" applyFill="1"/>
    <xf numFmtId="43" fontId="3" fillId="3" borderId="0" xfId="0" applyNumberFormat="1" applyFont="1" applyFill="1"/>
    <xf numFmtId="44" fontId="3" fillId="3" borderId="0" xfId="0" applyNumberFormat="1" applyFont="1" applyFill="1"/>
    <xf numFmtId="0" fontId="3" fillId="0" borderId="0" xfId="0" applyFont="1" applyAlignment="1">
      <alignment horizontal="center" vertical="center" wrapText="1"/>
    </xf>
    <xf numFmtId="9" fontId="0" fillId="0" borderId="0" xfId="4" applyFont="1" applyAlignment="1">
      <alignment horizontal="center"/>
    </xf>
    <xf numFmtId="164" fontId="0" fillId="0" borderId="0" xfId="0" applyNumberFormat="1"/>
    <xf numFmtId="168" fontId="0" fillId="0" borderId="0" xfId="0" applyNumberFormat="1"/>
    <xf numFmtId="9" fontId="3" fillId="0" borderId="0" xfId="0" applyNumberFormat="1" applyFont="1" applyAlignment="1">
      <alignment horizontal="center"/>
    </xf>
    <xf numFmtId="164" fontId="3" fillId="0" borderId="0" xfId="0" applyNumberFormat="1" applyFont="1"/>
    <xf numFmtId="6" fontId="3" fillId="0" borderId="2" xfId="0" applyNumberFormat="1" applyFont="1" applyBorder="1"/>
    <xf numFmtId="0" fontId="3" fillId="0" borderId="6" xfId="0" applyFont="1" applyBorder="1" applyAlignment="1">
      <alignment horizontal="center" vertical="center" wrapText="1"/>
    </xf>
    <xf numFmtId="43" fontId="0" fillId="0" borderId="7" xfId="1" applyFont="1" applyBorder="1" applyAlignment="1">
      <alignment wrapText="1"/>
    </xf>
    <xf numFmtId="0" fontId="0" fillId="0" borderId="7" xfId="0" applyBorder="1" applyAlignment="1">
      <alignment wrapText="1"/>
    </xf>
    <xf numFmtId="0" fontId="0" fillId="0" borderId="8" xfId="0" applyBorder="1" applyAlignment="1">
      <alignment wrapText="1"/>
    </xf>
    <xf numFmtId="9" fontId="0" fillId="0" borderId="9" xfId="4" applyFont="1" applyBorder="1"/>
    <xf numFmtId="43" fontId="0" fillId="0" borderId="0" xfId="1" applyFont="1" applyBorder="1"/>
    <xf numFmtId="0" fontId="0" fillId="0" borderId="10" xfId="0" applyBorder="1"/>
    <xf numFmtId="0" fontId="0" fillId="0" borderId="11" xfId="0" applyBorder="1"/>
    <xf numFmtId="43" fontId="0" fillId="0" borderId="12" xfId="1" applyFont="1" applyBorder="1"/>
    <xf numFmtId="0" fontId="0" fillId="0" borderId="12" xfId="0" applyBorder="1"/>
    <xf numFmtId="0" fontId="0" fillId="0" borderId="13" xfId="0" applyBorder="1"/>
    <xf numFmtId="43" fontId="0" fillId="0" borderId="0" xfId="0" applyNumberFormat="1"/>
    <xf numFmtId="0" fontId="0" fillId="4" borderId="0" xfId="0" applyFill="1"/>
    <xf numFmtId="0" fontId="6" fillId="0" borderId="0" xfId="0" applyFont="1"/>
    <xf numFmtId="0" fontId="9" fillId="0" borderId="0" xfId="0" applyFont="1"/>
    <xf numFmtId="6" fontId="7" fillId="0" borderId="0" xfId="0" applyNumberFormat="1" applyFont="1"/>
    <xf numFmtId="169" fontId="0" fillId="0" borderId="0" xfId="0" applyNumberFormat="1"/>
    <xf numFmtId="172" fontId="20" fillId="0" borderId="0" xfId="5" applyNumberFormat="1" applyFont="1"/>
    <xf numFmtId="168" fontId="0" fillId="0" borderId="0" xfId="2" applyNumberFormat="1" applyFont="1"/>
    <xf numFmtId="0" fontId="3" fillId="0" borderId="20" xfId="0" applyFont="1" applyBorder="1"/>
    <xf numFmtId="9" fontId="7" fillId="2" borderId="0" xfId="0" applyNumberFormat="1" applyFont="1" applyFill="1"/>
    <xf numFmtId="6" fontId="3" fillId="0" borderId="0" xfId="0" applyNumberFormat="1" applyFont="1"/>
    <xf numFmtId="8" fontId="3" fillId="0" borderId="0" xfId="0" applyNumberFormat="1" applyFont="1"/>
    <xf numFmtId="0" fontId="0" fillId="7" borderId="0" xfId="0" applyFill="1"/>
    <xf numFmtId="167" fontId="3" fillId="0" borderId="0" xfId="0" applyNumberFormat="1" applyFont="1"/>
    <xf numFmtId="0" fontId="0" fillId="2" borderId="0" xfId="0" applyFill="1"/>
    <xf numFmtId="0" fontId="3" fillId="2" borderId="0" xfId="0" applyFont="1" applyFill="1" applyAlignment="1">
      <alignment horizontal="right"/>
    </xf>
    <xf numFmtId="44" fontId="3" fillId="2" borderId="0" xfId="2" applyFont="1" applyFill="1"/>
    <xf numFmtId="8" fontId="6" fillId="0" borderId="0" xfId="0" applyNumberFormat="1" applyFont="1"/>
    <xf numFmtId="167" fontId="6" fillId="0" borderId="0" xfId="0" applyNumberFormat="1" applyFont="1"/>
    <xf numFmtId="0" fontId="7" fillId="0" borderId="0" xfId="0" applyFont="1"/>
    <xf numFmtId="44" fontId="7" fillId="0" borderId="0" xfId="0" applyNumberFormat="1" applyFont="1"/>
    <xf numFmtId="167" fontId="0" fillId="4" borderId="0" xfId="0" applyNumberFormat="1" applyFill="1"/>
    <xf numFmtId="0" fontId="0" fillId="0" borderId="21" xfId="0" applyBorder="1" applyAlignment="1">
      <alignment horizontal="left" vertical="center" wrapText="1"/>
    </xf>
    <xf numFmtId="0" fontId="0" fillId="0" borderId="21" xfId="0" applyBorder="1" applyAlignment="1">
      <alignment horizontal="left" wrapText="1"/>
    </xf>
    <xf numFmtId="1" fontId="23" fillId="0" borderId="21" xfId="0" applyNumberFormat="1" applyFont="1" applyBorder="1" applyAlignment="1">
      <alignment horizontal="right" vertical="top" shrinkToFit="1"/>
    </xf>
    <xf numFmtId="3" fontId="26" fillId="0" borderId="21" xfId="0" applyNumberFormat="1" applyFont="1" applyBorder="1" applyAlignment="1">
      <alignment horizontal="right" vertical="top" shrinkToFit="1"/>
    </xf>
    <xf numFmtId="1" fontId="26" fillId="0" borderId="21" xfId="0" applyNumberFormat="1" applyFont="1" applyBorder="1" applyAlignment="1">
      <alignment horizontal="right" vertical="top" shrinkToFit="1"/>
    </xf>
    <xf numFmtId="0" fontId="25" fillId="0" borderId="21" xfId="0" applyFont="1" applyBorder="1" applyAlignment="1">
      <alignment horizontal="right" vertical="top" wrapText="1"/>
    </xf>
    <xf numFmtId="2" fontId="26" fillId="0" borderId="21" xfId="0" applyNumberFormat="1" applyFont="1" applyBorder="1" applyAlignment="1">
      <alignment horizontal="right" vertical="top" shrinkToFit="1"/>
    </xf>
    <xf numFmtId="0" fontId="21" fillId="0" borderId="21" xfId="0" applyFont="1" applyBorder="1" applyAlignment="1">
      <alignment horizontal="left" vertical="top"/>
    </xf>
    <xf numFmtId="0" fontId="0" fillId="0" borderId="21" xfId="0" applyBorder="1" applyAlignment="1">
      <alignment horizontal="left"/>
    </xf>
    <xf numFmtId="0" fontId="24" fillId="0" borderId="21" xfId="0" applyFont="1" applyBorder="1" applyAlignment="1">
      <alignment horizontal="left" vertical="top"/>
    </xf>
    <xf numFmtId="0" fontId="25" fillId="0" borderId="21" xfId="0" applyFont="1" applyBorder="1" applyAlignment="1">
      <alignment horizontal="left" vertical="top"/>
    </xf>
    <xf numFmtId="0" fontId="27" fillId="0" borderId="21" xfId="0" applyFont="1" applyBorder="1" applyAlignment="1">
      <alignment horizontal="left" vertical="top"/>
    </xf>
    <xf numFmtId="4" fontId="26" fillId="0" borderId="0" xfId="0" applyNumberFormat="1" applyFont="1" applyAlignment="1">
      <alignment horizontal="right" vertical="top" shrinkToFit="1"/>
    </xf>
    <xf numFmtId="0" fontId="3" fillId="0" borderId="0" xfId="0" applyFont="1" applyAlignment="1">
      <alignment wrapText="1"/>
    </xf>
    <xf numFmtId="43" fontId="0" fillId="0" borderId="0" xfId="1" applyFont="1"/>
    <xf numFmtId="14" fontId="0" fillId="0" borderId="0" xfId="0" applyNumberFormat="1"/>
    <xf numFmtId="10" fontId="0" fillId="0" borderId="0" xfId="0" applyNumberFormat="1"/>
    <xf numFmtId="17" fontId="0" fillId="0" borderId="0" xfId="0" applyNumberFormat="1"/>
    <xf numFmtId="0" fontId="0" fillId="0" borderId="3" xfId="0" applyBorder="1"/>
    <xf numFmtId="3" fontId="3" fillId="0" borderId="0" xfId="0" applyNumberFormat="1" applyFont="1"/>
    <xf numFmtId="4" fontId="3" fillId="0" borderId="0" xfId="0" applyNumberFormat="1" applyFont="1"/>
    <xf numFmtId="6" fontId="3" fillId="0" borderId="20" xfId="0" applyNumberFormat="1" applyFont="1" applyBorder="1"/>
    <xf numFmtId="0" fontId="3" fillId="0" borderId="0" xfId="0" applyFont="1" applyAlignment="1">
      <alignment horizontal="left" vertical="center"/>
    </xf>
    <xf numFmtId="0" fontId="29" fillId="0" borderId="0" xfId="0" applyFont="1" applyAlignment="1">
      <alignment horizontal="center" vertical="center"/>
    </xf>
    <xf numFmtId="0" fontId="30" fillId="8" borderId="17" xfId="0" applyFont="1" applyFill="1" applyBorder="1" applyAlignment="1">
      <alignment vertical="center"/>
    </xf>
    <xf numFmtId="0" fontId="30" fillId="8" borderId="18" xfId="0" applyFont="1" applyFill="1" applyBorder="1" applyAlignment="1">
      <alignment horizontal="right" vertical="center"/>
    </xf>
    <xf numFmtId="0" fontId="30" fillId="8" borderId="18" xfId="0" applyFont="1" applyFill="1" applyBorder="1" applyAlignment="1">
      <alignment horizontal="center" vertical="center"/>
    </xf>
    <xf numFmtId="0" fontId="7" fillId="0" borderId="19" xfId="0" applyFont="1" applyBorder="1" applyAlignment="1">
      <alignment vertical="center"/>
    </xf>
    <xf numFmtId="6" fontId="7" fillId="0" borderId="13" xfId="0" applyNumberFormat="1" applyFont="1" applyBorder="1" applyAlignment="1">
      <alignment horizontal="right" vertical="center"/>
    </xf>
    <xf numFmtId="173" fontId="7" fillId="0" borderId="13" xfId="0" applyNumberFormat="1" applyFont="1" applyBorder="1" applyAlignment="1">
      <alignment horizontal="right" vertical="center"/>
    </xf>
    <xf numFmtId="164" fontId="3" fillId="0" borderId="0" xfId="1" applyNumberFormat="1" applyFont="1"/>
    <xf numFmtId="0" fontId="31" fillId="9" borderId="25" xfId="0" applyFont="1" applyFill="1" applyBorder="1"/>
    <xf numFmtId="0" fontId="31" fillId="9" borderId="26" xfId="0" applyFont="1" applyFill="1" applyBorder="1"/>
    <xf numFmtId="0" fontId="31" fillId="9" borderId="27" xfId="0" applyFont="1" applyFill="1" applyBorder="1"/>
    <xf numFmtId="0" fontId="31" fillId="9" borderId="28" xfId="0" applyFont="1" applyFill="1" applyBorder="1"/>
    <xf numFmtId="6" fontId="32" fillId="10" borderId="28" xfId="0" applyNumberFormat="1" applyFont="1" applyFill="1" applyBorder="1"/>
    <xf numFmtId="6" fontId="32" fillId="11" borderId="28" xfId="0" applyNumberFormat="1" applyFont="1" applyFill="1" applyBorder="1"/>
    <xf numFmtId="6" fontId="33" fillId="11" borderId="28" xfId="0" applyNumberFormat="1" applyFont="1" applyFill="1" applyBorder="1"/>
    <xf numFmtId="43" fontId="3" fillId="0" borderId="0" xfId="0" applyNumberFormat="1" applyFont="1"/>
    <xf numFmtId="43" fontId="0" fillId="4" borderId="0" xfId="0" applyNumberFormat="1" applyFill="1"/>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25" fillId="0" borderId="22" xfId="0" applyFont="1" applyBorder="1" applyAlignment="1">
      <alignment horizontal="left" vertical="top" wrapText="1"/>
    </xf>
    <xf numFmtId="0" fontId="25" fillId="0" borderId="23" xfId="0" applyFont="1" applyBorder="1" applyAlignment="1">
      <alignment horizontal="left" vertical="top" wrapText="1"/>
    </xf>
    <xf numFmtId="0" fontId="25" fillId="0" borderId="24" xfId="0" applyFont="1" applyBorder="1" applyAlignment="1">
      <alignment horizontal="left" vertical="top" wrapText="1"/>
    </xf>
    <xf numFmtId="0" fontId="28" fillId="0" borderId="22" xfId="0" applyFont="1" applyBorder="1" applyAlignment="1">
      <alignment horizontal="left" vertical="top" wrapText="1" indent="1"/>
    </xf>
    <xf numFmtId="0" fontId="28" fillId="0" borderId="23" xfId="0" applyFont="1" applyBorder="1" applyAlignment="1">
      <alignment horizontal="left" vertical="top" wrapText="1" indent="1"/>
    </xf>
    <xf numFmtId="0" fontId="28" fillId="0" borderId="24" xfId="0" applyFont="1" applyBorder="1" applyAlignment="1">
      <alignment horizontal="left" vertical="top" wrapText="1" indent="1"/>
    </xf>
    <xf numFmtId="0" fontId="0" fillId="0" borderId="0" xfId="0" applyAlignment="1">
      <alignment horizontal="center"/>
    </xf>
  </cellXfs>
  <cellStyles count="35">
    <cellStyle name="Comma" xfId="1" builtinId="3"/>
    <cellStyle name="Currency" xfId="2" builtinId="4"/>
    <cellStyle name="Data" xfId="6" xr:uid="{C7A5D67F-C838-453C-B88B-8B7223805476}"/>
    <cellStyle name="Data Superscript" xfId="7" xr:uid="{DCEF45D7-EB99-4D3F-A4BD-A812731C27DB}"/>
    <cellStyle name="Data_1-43A" xfId="8" xr:uid="{8C02B12D-D12E-4B3E-A146-DC0CCE12C467}"/>
    <cellStyle name="Data-one deci" xfId="9" xr:uid="{17483C5D-75F1-46B9-9B75-AA93BC897AEB}"/>
    <cellStyle name="Hed Side" xfId="10" xr:uid="{76A61A2B-5E03-4F8D-8201-78928C68194E}"/>
    <cellStyle name="Hed Side bold" xfId="11" xr:uid="{1C3534A6-80BC-485B-8826-DB0E83D96026}"/>
    <cellStyle name="Hed Side Regular" xfId="12" xr:uid="{670C74B9-AC42-4F43-89FA-7F0FFC5E5AA1}"/>
    <cellStyle name="Hed Side_1-43A" xfId="13" xr:uid="{178BFF96-3E64-413E-8F8B-FA8F381CDEB2}"/>
    <cellStyle name="Hed Top" xfId="14" xr:uid="{41A2F67A-EA36-4F90-B910-E2FB226673D7}"/>
    <cellStyle name="Hyperlink" xfId="3" builtinId="8"/>
    <cellStyle name="Normal" xfId="0" builtinId="0"/>
    <cellStyle name="Normal 2" xfId="15" xr:uid="{9B6D1712-678B-4EDE-9981-8E53D96AAE85}"/>
    <cellStyle name="Normal 3" xfId="5" xr:uid="{0FF40C92-4B34-4B24-8ADC-F7CB888A98F2}"/>
    <cellStyle name="Percent" xfId="4" builtinId="5"/>
    <cellStyle name="Source Hed" xfId="16" xr:uid="{3724DC73-A9FB-45FC-A2CD-D0EECD2F28CA}"/>
    <cellStyle name="Source Superscript" xfId="17" xr:uid="{635E313E-21B6-47E1-885C-0C131B7F426E}"/>
    <cellStyle name="Source Text" xfId="18" xr:uid="{28E84479-555E-4541-B2B4-D782F5C413F2}"/>
    <cellStyle name="Superscript" xfId="19" xr:uid="{ACCF2C5F-BFAF-46EA-9D89-056A5CB9EBD7}"/>
    <cellStyle name="Superscript- regular" xfId="20" xr:uid="{2B07C9CE-59B0-470C-9EB8-60E129DFA03B}"/>
    <cellStyle name="Superscript_1-43A" xfId="21" xr:uid="{390E1D8A-C420-4F66-9356-8F4DF048FBE4}"/>
    <cellStyle name="Table Data" xfId="22" xr:uid="{3AB972B1-90EE-4854-9CB1-CA145E186FF6}"/>
    <cellStyle name="Table Head Top" xfId="23" xr:uid="{580D2082-D58A-4CE5-9FC5-68D56BF9D208}"/>
    <cellStyle name="Table Hed Side" xfId="24" xr:uid="{99AF08DB-4FA3-4F07-ABE0-DFE9A59E93B3}"/>
    <cellStyle name="Table Title" xfId="25" xr:uid="{75CC1FE1-815B-416E-BDC4-A4B8CB4D5C32}"/>
    <cellStyle name="Title Text" xfId="26" xr:uid="{295CD85E-D389-418C-B932-B8BCEC834BD1}"/>
    <cellStyle name="Title Text 1" xfId="27" xr:uid="{AF82EC28-EF97-49BE-ACD8-2E292E3FDB42}"/>
    <cellStyle name="Title Text 2" xfId="28" xr:uid="{7C0A8966-2A48-406D-8BBC-93144A3FFE34}"/>
    <cellStyle name="Title-1" xfId="29" xr:uid="{2AF30C2B-66ED-4EE7-8984-58EF8CD3E3E2}"/>
    <cellStyle name="Title-2" xfId="30" xr:uid="{DDDB4952-FC6E-4ADC-8430-B90C6D999B14}"/>
    <cellStyle name="Title-3" xfId="31" xr:uid="{7DB9C830-F611-4033-921C-F8AEBAE691F0}"/>
    <cellStyle name="Wrap" xfId="32" xr:uid="{9D6C95B2-34A7-4152-9EAE-E640C647B08A}"/>
    <cellStyle name="Wrap Bold" xfId="33" xr:uid="{30D09052-A278-4BED-A68E-C57A96939836}"/>
    <cellStyle name="Wrap Title" xfId="34" xr:uid="{ADA6C713-EA4A-49F7-8449-A466D999BA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16</xdr:row>
      <xdr:rowOff>78105</xdr:rowOff>
    </xdr:from>
    <xdr:to>
      <xdr:col>9</xdr:col>
      <xdr:colOff>437259</xdr:colOff>
      <xdr:row>37</xdr:row>
      <xdr:rowOff>151047</xdr:rowOff>
    </xdr:to>
    <xdr:pic>
      <xdr:nvPicPr>
        <xdr:cNvPr id="2" name="Picture 1">
          <a:extLst>
            <a:ext uri="{FF2B5EF4-FFF2-40B4-BE49-F238E27FC236}">
              <a16:creationId xmlns:a16="http://schemas.microsoft.com/office/drawing/2014/main" id="{ACA4A2CA-EF45-4C76-B2BD-10B21EA01C8E}"/>
            </a:ext>
          </a:extLst>
        </xdr:cNvPr>
        <xdr:cNvPicPr>
          <a:picLocks noChangeAspect="1"/>
        </xdr:cNvPicPr>
      </xdr:nvPicPr>
      <xdr:blipFill>
        <a:blip xmlns:r="http://schemas.openxmlformats.org/officeDocument/2006/relationships" r:embed="rId1"/>
        <a:stretch>
          <a:fillRect/>
        </a:stretch>
      </xdr:blipFill>
      <xdr:spPr>
        <a:xfrm>
          <a:off x="57150" y="3145155"/>
          <a:ext cx="7257159" cy="3930567"/>
        </a:xfrm>
        <a:prstGeom prst="rect">
          <a:avLst/>
        </a:prstGeom>
      </xdr:spPr>
    </xdr:pic>
    <xdr:clientData/>
  </xdr:twoCellAnchor>
  <xdr:twoCellAnchor editAs="oneCell">
    <xdr:from>
      <xdr:col>13</xdr:col>
      <xdr:colOff>43815</xdr:colOff>
      <xdr:row>12</xdr:row>
      <xdr:rowOff>36195</xdr:rowOff>
    </xdr:from>
    <xdr:to>
      <xdr:col>22</xdr:col>
      <xdr:colOff>428625</xdr:colOff>
      <xdr:row>32</xdr:row>
      <xdr:rowOff>129540</xdr:rowOff>
    </xdr:to>
    <xdr:pic>
      <xdr:nvPicPr>
        <xdr:cNvPr id="3" name="Picture 2">
          <a:extLst>
            <a:ext uri="{FF2B5EF4-FFF2-40B4-BE49-F238E27FC236}">
              <a16:creationId xmlns:a16="http://schemas.microsoft.com/office/drawing/2014/main" id="{4790BA1C-61C1-4482-938D-1EBB04925397}"/>
            </a:ext>
          </a:extLst>
        </xdr:cNvPr>
        <xdr:cNvPicPr>
          <a:picLocks noChangeAspect="1"/>
        </xdr:cNvPicPr>
      </xdr:nvPicPr>
      <xdr:blipFill>
        <a:blip xmlns:r="http://schemas.openxmlformats.org/officeDocument/2006/relationships" r:embed="rId2"/>
        <a:stretch>
          <a:fillRect/>
        </a:stretch>
      </xdr:blipFill>
      <xdr:spPr>
        <a:xfrm>
          <a:off x="7968615" y="2379345"/>
          <a:ext cx="7166610" cy="37452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pi.org/publication/updated-employment-multipliers-for-the-u-s-economy/"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cdan.nhtsa.gov/tsftables/National%20Statistics.pdf" TargetMode="External"/><Relationship Id="rId2" Type="http://schemas.openxmlformats.org/officeDocument/2006/relationships/hyperlink" Target="https://crashstats.nhtsa.dot.gov/Api/Public/ViewPublication/813209" TargetMode="External"/><Relationship Id="rId1" Type="http://schemas.openxmlformats.org/officeDocument/2006/relationships/hyperlink" Target="https://crashstats.nhtsa.dot.gov/Api/Public/ViewPublication/813199" TargetMode="Externa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system/files/2019-10/55688-CBO-VMT-Tax.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7AD6F-0730-497F-831D-9EB0ABB1BAA4}">
  <sheetPr>
    <tabColor theme="7" tint="-0.249977111117893"/>
  </sheetPr>
  <dimension ref="A1:E84"/>
  <sheetViews>
    <sheetView tabSelected="1" topLeftCell="A52" workbookViewId="0">
      <selection activeCell="N62" sqref="N62"/>
    </sheetView>
  </sheetViews>
  <sheetFormatPr defaultColWidth="8.88671875" defaultRowHeight="14.4" x14ac:dyDescent="0.3"/>
  <cols>
    <col min="1" max="1" width="29.44140625" bestFit="1" customWidth="1"/>
    <col min="2" max="4" width="24" customWidth="1"/>
    <col min="5" max="5" width="17.109375" bestFit="1" customWidth="1"/>
  </cols>
  <sheetData>
    <row r="1" spans="1:4" x14ac:dyDescent="0.3">
      <c r="A1" s="99" t="s">
        <v>0</v>
      </c>
    </row>
    <row r="2" spans="1:4" ht="15" thickBot="1" x14ac:dyDescent="0.35">
      <c r="A2" s="100"/>
    </row>
    <row r="3" spans="1:4" ht="15" thickBot="1" x14ac:dyDescent="0.35">
      <c r="A3" s="101" t="s">
        <v>1</v>
      </c>
      <c r="B3" s="102" t="s">
        <v>2</v>
      </c>
      <c r="C3" s="103" t="s">
        <v>3</v>
      </c>
      <c r="D3" s="103" t="s">
        <v>4</v>
      </c>
    </row>
    <row r="4" spans="1:4" ht="15" thickBot="1" x14ac:dyDescent="0.35">
      <c r="A4" s="104" t="s">
        <v>5</v>
      </c>
      <c r="B4" s="105">
        <f>ROUND('30yr Horizon_shipping'!E17,-3)</f>
        <v>506098000</v>
      </c>
      <c r="C4" s="105">
        <f>ROUND('30yr Horizon_shipping'!C17,-3)</f>
        <v>285922000</v>
      </c>
      <c r="D4" s="105">
        <f>ROUND('30yr Horizon_shipping'!D17,-3)</f>
        <v>148903000</v>
      </c>
    </row>
    <row r="5" spans="1:4" ht="15" thickBot="1" x14ac:dyDescent="0.35">
      <c r="A5" s="104" t="s">
        <v>6</v>
      </c>
      <c r="B5" s="105">
        <f>ROUND('30yr Horizon_shipping'!E23,-3)</f>
        <v>62451000</v>
      </c>
      <c r="C5" s="105">
        <f>ROUND('30yr Horizon_shipping'!C23,-3)</f>
        <v>41500000</v>
      </c>
      <c r="D5" s="105">
        <f>ROUND('30yr Horizon_shipping'!D23,-3)</f>
        <v>27817000</v>
      </c>
    </row>
    <row r="6" spans="1:4" ht="15" thickBot="1" x14ac:dyDescent="0.35">
      <c r="A6" s="104" t="s">
        <v>7</v>
      </c>
      <c r="B6" s="105">
        <f>B4-B5</f>
        <v>443647000</v>
      </c>
      <c r="C6" s="105">
        <f t="shared" ref="C6:D6" si="0">C4-C5</f>
        <v>244422000</v>
      </c>
      <c r="D6" s="105">
        <f t="shared" si="0"/>
        <v>121086000</v>
      </c>
    </row>
    <row r="7" spans="1:4" ht="15" thickBot="1" x14ac:dyDescent="0.35">
      <c r="A7" s="104" t="s">
        <v>8</v>
      </c>
      <c r="B7" s="106">
        <f>B4/B5</f>
        <v>8.1039214744359587</v>
      </c>
      <c r="C7" s="106">
        <f t="shared" ref="C7:D7" si="1">C4/C5</f>
        <v>6.8896867469879517</v>
      </c>
      <c r="D7" s="106">
        <f t="shared" si="1"/>
        <v>5.352949635115217</v>
      </c>
    </row>
    <row r="10" spans="1:4" x14ac:dyDescent="0.3">
      <c r="A10" s="14" t="s">
        <v>9</v>
      </c>
    </row>
    <row r="12" spans="1:4" x14ac:dyDescent="0.3">
      <c r="A12" s="101" t="s">
        <v>1</v>
      </c>
      <c r="B12" s="102" t="s">
        <v>2</v>
      </c>
      <c r="C12" s="103" t="s">
        <v>3</v>
      </c>
      <c r="D12" s="103" t="s">
        <v>4</v>
      </c>
    </row>
    <row r="13" spans="1:4" x14ac:dyDescent="0.3">
      <c r="A13" s="104" t="s">
        <v>5</v>
      </c>
      <c r="B13" s="105">
        <f>ROUND('30yr Horizon_noshipping'!E17,-3)</f>
        <v>249051000</v>
      </c>
      <c r="C13" s="105">
        <f>ROUND('30yr Horizon_noshipping'!C17,-3)</f>
        <v>140877000</v>
      </c>
      <c r="D13" s="105">
        <f>ROUND('30yr Horizon_noshipping'!D17,-3)</f>
        <v>73538000</v>
      </c>
    </row>
    <row r="14" spans="1:4" x14ac:dyDescent="0.3">
      <c r="A14" s="104" t="s">
        <v>6</v>
      </c>
      <c r="B14" s="105">
        <f>ROUND('30yr Horizon_noshipping'!E22,-3)</f>
        <v>60961000</v>
      </c>
      <c r="C14" s="105">
        <f>ROUND('30yr Horizon_noshipping'!C22,-3)</f>
        <v>40970000</v>
      </c>
      <c r="D14" s="105">
        <f>ROUND('30yr Horizon_noshipping'!D22,-3)</f>
        <v>27678000</v>
      </c>
    </row>
    <row r="15" spans="1:4" x14ac:dyDescent="0.3">
      <c r="A15" s="104" t="s">
        <v>7</v>
      </c>
      <c r="B15" s="105">
        <f>B13-B14</f>
        <v>188090000</v>
      </c>
      <c r="C15" s="105">
        <f t="shared" ref="C15:D15" si="2">C13-C14</f>
        <v>99907000</v>
      </c>
      <c r="D15" s="105">
        <f t="shared" si="2"/>
        <v>45860000</v>
      </c>
    </row>
    <row r="16" spans="1:4" x14ac:dyDescent="0.3">
      <c r="A16" s="104" t="s">
        <v>8</v>
      </c>
      <c r="B16" s="106">
        <f>B13/B14</f>
        <v>4.0854152654976135</v>
      </c>
      <c r="C16" s="106">
        <f t="shared" ref="C16:D16" si="3">C13/C14</f>
        <v>3.4385403954112768</v>
      </c>
      <c r="D16" s="106">
        <f t="shared" si="3"/>
        <v>2.6569116265626129</v>
      </c>
    </row>
    <row r="19" spans="1:5" ht="15" thickBot="1" x14ac:dyDescent="0.35"/>
    <row r="20" spans="1:5" ht="15" thickBot="1" x14ac:dyDescent="0.35">
      <c r="A20" s="101" t="s">
        <v>10</v>
      </c>
      <c r="B20" s="101" t="s">
        <v>11</v>
      </c>
      <c r="C20" s="101" t="s">
        <v>12</v>
      </c>
      <c r="D20" s="101" t="s">
        <v>13</v>
      </c>
      <c r="E20" s="101" t="s">
        <v>14</v>
      </c>
    </row>
    <row r="21" spans="1:5" ht="15" thickBot="1" x14ac:dyDescent="0.35">
      <c r="A21" s="104" t="s">
        <v>15</v>
      </c>
      <c r="B21" s="105">
        <f>'30yr Horizon_noshipping'!F4+'30yr Horizon_noshipping'!F14</f>
        <v>641967.78833026858</v>
      </c>
      <c r="C21" s="105">
        <f>'30yr Horizon_noshipping'!E4+'30yr Horizon_noshipping'!E14</f>
        <v>19901001.438238326</v>
      </c>
      <c r="D21" s="105">
        <f>'30yr Horizon_noshipping'!C4+'30yr Horizon_noshipping'!C14</f>
        <v>11262425.978025651</v>
      </c>
      <c r="E21" s="105">
        <f>'30yr Horizon_noshipping'!D4+'30yr Horizon_noshipping'!D14</f>
        <v>5882401.6783635123</v>
      </c>
    </row>
    <row r="22" spans="1:5" ht="15" thickBot="1" x14ac:dyDescent="0.35">
      <c r="A22" s="104" t="s">
        <v>16</v>
      </c>
      <c r="B22" s="105">
        <f>'30yr Horizon_noshipping'!F5+'30yr Horizon_noshipping'!F15</f>
        <v>1146386.7456212176</v>
      </c>
      <c r="C22" s="105">
        <f>'30yr Horizon_noshipping'!E5+'30yr Horizon_noshipping'!E15</f>
        <v>35537989.114257745</v>
      </c>
      <c r="D22" s="105">
        <f>'30yr Horizon_noshipping'!C5+'30yr Horizon_noshipping'!C15</f>
        <v>20111750.308111101</v>
      </c>
      <c r="E22" s="105">
        <f>'30yr Horizon_noshipping'!D5+'30yr Horizon_noshipping'!D15</f>
        <v>10504432.526179412</v>
      </c>
    </row>
    <row r="23" spans="1:5" ht="15" thickBot="1" x14ac:dyDescent="0.35">
      <c r="A23" s="104" t="s">
        <v>17</v>
      </c>
      <c r="B23" s="105">
        <f>'30yr Horizon_noshipping'!F6+'30yr Horizon_noshipping'!F16</f>
        <v>29075.262656194482</v>
      </c>
      <c r="C23" s="105">
        <f>'30yr Horizon_noshipping'!E6+'30yr Horizon_noshipping'!E16</f>
        <v>901333.14234202891</v>
      </c>
      <c r="D23" s="105">
        <f>'30yr Horizon_noshipping'!C6+'30yr Horizon_noshipping'!C16</f>
        <v>510084.77280261728</v>
      </c>
      <c r="E23" s="105">
        <f>'30yr Horizon_noshipping'!D6+'30yr Horizon_noshipping'!D16</f>
        <v>266418.93402861588</v>
      </c>
    </row>
    <row r="24" spans="1:5" ht="15" thickBot="1" x14ac:dyDescent="0.35">
      <c r="A24" s="104" t="s">
        <v>18</v>
      </c>
      <c r="B24" s="105">
        <f>SUM(B21:B23)</f>
        <v>1817429.7966076806</v>
      </c>
      <c r="C24" s="105">
        <f t="shared" ref="C24:E24" si="4">SUM(C21:C23)</f>
        <v>56340323.694838107</v>
      </c>
      <c r="D24" s="105">
        <f t="shared" si="4"/>
        <v>31884261.058939371</v>
      </c>
      <c r="E24" s="105">
        <f t="shared" si="4"/>
        <v>16653253.13857154</v>
      </c>
    </row>
    <row r="26" spans="1:5" ht="15" thickBot="1" x14ac:dyDescent="0.35"/>
    <row r="27" spans="1:5" ht="15" thickBot="1" x14ac:dyDescent="0.35">
      <c r="A27" s="101" t="s">
        <v>10</v>
      </c>
      <c r="B27" s="101" t="s">
        <v>11</v>
      </c>
      <c r="C27" s="101" t="s">
        <v>12</v>
      </c>
      <c r="D27" s="101" t="s">
        <v>13</v>
      </c>
      <c r="E27" s="101" t="s">
        <v>14</v>
      </c>
    </row>
    <row r="28" spans="1:5" ht="15" thickBot="1" x14ac:dyDescent="0.35">
      <c r="A28" s="104" t="s">
        <v>19</v>
      </c>
      <c r="B28" s="105">
        <f>'30yr Horizon_noshipping'!F3+'30yr Horizon_noshipping'!F13</f>
        <v>258076.96782072561</v>
      </c>
      <c r="C28" s="105">
        <f>'30yr Horizon_noshipping'!E3+'30yr Horizon_noshipping'!E13</f>
        <v>8000386.002442494</v>
      </c>
      <c r="D28" s="105">
        <f>'30yr Horizon_noshipping'!C3+'30yr Horizon_noshipping'!C13</f>
        <v>4460047.1199945817</v>
      </c>
      <c r="E28" s="105">
        <f>'30yr Horizon_noshipping'!D3+'30yr Horizon_noshipping'!D13</f>
        <v>2285971.7857889901</v>
      </c>
    </row>
    <row r="30" spans="1:5" ht="15" thickBot="1" x14ac:dyDescent="0.35"/>
    <row r="31" spans="1:5" ht="15" thickBot="1" x14ac:dyDescent="0.35">
      <c r="A31" s="101" t="s">
        <v>10</v>
      </c>
      <c r="B31" s="101" t="s">
        <v>11</v>
      </c>
      <c r="C31" s="101" t="s">
        <v>12</v>
      </c>
      <c r="D31" s="101" t="s">
        <v>13</v>
      </c>
      <c r="E31" s="101" t="s">
        <v>14</v>
      </c>
    </row>
    <row r="32" spans="1:5" ht="15" thickBot="1" x14ac:dyDescent="0.35">
      <c r="A32" s="104" t="s">
        <v>20</v>
      </c>
      <c r="B32" s="105">
        <f>'30yr Horizon_noshipping'!F9</f>
        <v>917520.23749485298</v>
      </c>
      <c r="C32" s="105">
        <f>'30yr Horizon_noshipping'!E9</f>
        <v>28443127.362340443</v>
      </c>
      <c r="D32" s="105">
        <f>'30yr Horizon_noshipping'!C9</f>
        <v>16097343.821425619</v>
      </c>
      <c r="E32" s="105">
        <f>'30yr Horizon_noshipping'!D9</f>
        <v>8408310.1996200755</v>
      </c>
    </row>
    <row r="34" spans="1:5" ht="15" thickBot="1" x14ac:dyDescent="0.35"/>
    <row r="35" spans="1:5" ht="15" thickBot="1" x14ac:dyDescent="0.35">
      <c r="A35" s="101" t="s">
        <v>10</v>
      </c>
      <c r="B35" s="101" t="s">
        <v>11</v>
      </c>
      <c r="C35" s="101" t="s">
        <v>12</v>
      </c>
      <c r="D35" s="101" t="s">
        <v>13</v>
      </c>
      <c r="E35" s="101" t="s">
        <v>14</v>
      </c>
    </row>
    <row r="36" spans="1:5" ht="15" thickBot="1" x14ac:dyDescent="0.35">
      <c r="A36" s="104" t="s">
        <v>21</v>
      </c>
      <c r="B36" s="105">
        <f>'30yr Horizon_shipping'!F7</f>
        <v>12985906.295790043</v>
      </c>
      <c r="C36" s="105">
        <f>'30yr Horizon_shipping'!E7</f>
        <v>402563095.16949135</v>
      </c>
      <c r="D36" s="105">
        <f>'30yr Horizon_shipping'!C7</f>
        <v>227400018.57103726</v>
      </c>
      <c r="E36" s="105">
        <f>'30yr Horizon_shipping'!D7</f>
        <v>118382159.84527214</v>
      </c>
    </row>
    <row r="38" spans="1:5" ht="15" thickBot="1" x14ac:dyDescent="0.35"/>
    <row r="39" spans="1:5" ht="15" thickBot="1" x14ac:dyDescent="0.35">
      <c r="A39" s="101" t="s">
        <v>10</v>
      </c>
      <c r="B39" s="101" t="s">
        <v>11</v>
      </c>
      <c r="C39" s="101" t="s">
        <v>12</v>
      </c>
      <c r="D39" s="101" t="s">
        <v>13</v>
      </c>
      <c r="E39" s="101" t="s">
        <v>14</v>
      </c>
    </row>
    <row r="40" spans="1:5" ht="15" thickBot="1" x14ac:dyDescent="0.35">
      <c r="A40" s="104" t="s">
        <v>22</v>
      </c>
      <c r="B40" s="105">
        <f>'30yr Horizon_noshipping'!F11</f>
        <v>1633.9084209698726</v>
      </c>
      <c r="C40" s="105">
        <f>'30yr Horizon_noshipping'!E11</f>
        <v>50651.161050066054</v>
      </c>
      <c r="D40" s="105">
        <f>'30yr Horizon_noshipping'!C11</f>
        <v>25401.483664332372</v>
      </c>
      <c r="E40" s="105">
        <f>'30yr Horizon_noshipping'!D11</f>
        <v>10539.39886470228</v>
      </c>
    </row>
    <row r="41" spans="1:5" ht="15" thickBot="1" x14ac:dyDescent="0.35">
      <c r="A41" s="104" t="s">
        <v>23</v>
      </c>
      <c r="B41" s="105">
        <f>'30yr Horizon_noshipping'!F10</f>
        <v>259675.53891363778</v>
      </c>
      <c r="C41" s="105">
        <f>'30yr Horizon_noshipping'!E10</f>
        <v>8049941.7063227715</v>
      </c>
      <c r="D41" s="105">
        <f>'30yr Horizon_noshipping'!C10</f>
        <v>4555852.0249317791</v>
      </c>
      <c r="E41" s="105">
        <f>'30yr Horizon_noshipping'!D10</f>
        <v>2379710.4338547373</v>
      </c>
    </row>
    <row r="42" spans="1:5" ht="15" thickBot="1" x14ac:dyDescent="0.35">
      <c r="A42" s="104" t="s">
        <v>18</v>
      </c>
      <c r="B42" s="105">
        <f>B40+B41</f>
        <v>261309.44733460766</v>
      </c>
      <c r="C42" s="105">
        <f t="shared" ref="C42:E42" si="5">C40+C41</f>
        <v>8100592.8673728378</v>
      </c>
      <c r="D42" s="105">
        <f t="shared" si="5"/>
        <v>4581253.5085961111</v>
      </c>
      <c r="E42" s="105">
        <f t="shared" si="5"/>
        <v>2390249.8327194396</v>
      </c>
    </row>
    <row r="45" spans="1:5" x14ac:dyDescent="0.3">
      <c r="A45" s="14" t="s">
        <v>333</v>
      </c>
    </row>
    <row r="46" spans="1:5" x14ac:dyDescent="0.3">
      <c r="A46" s="108" t="s">
        <v>24</v>
      </c>
      <c r="B46" s="109" t="s">
        <v>11</v>
      </c>
      <c r="C46" s="109" t="s">
        <v>12</v>
      </c>
      <c r="D46" s="109" t="s">
        <v>13</v>
      </c>
      <c r="E46" s="110" t="s">
        <v>14</v>
      </c>
    </row>
    <row r="47" spans="1:5" x14ac:dyDescent="0.3">
      <c r="A47" s="111" t="s">
        <v>25</v>
      </c>
      <c r="B47" s="112">
        <f>'30yr Horizon_noshipping'!F11</f>
        <v>1633.9084209698726</v>
      </c>
      <c r="C47" s="112">
        <f>'30yr Horizon_noshipping'!E11</f>
        <v>50651.161050066054</v>
      </c>
      <c r="D47" s="112">
        <f>'30yr Horizon_noshipping'!C11</f>
        <v>25401.483664332372</v>
      </c>
      <c r="E47" s="112">
        <f>'30yr Horizon_noshipping'!D11</f>
        <v>10539.39886470228</v>
      </c>
    </row>
    <row r="48" spans="1:5" x14ac:dyDescent="0.3">
      <c r="A48" s="111" t="s">
        <v>26</v>
      </c>
      <c r="B48" s="113">
        <f>'30yr Horizon_noshipping'!F16+'30yr Horizon_noshipping'!F6</f>
        <v>29075.262656194482</v>
      </c>
      <c r="C48" s="113">
        <f>'30yr Horizon_noshipping'!E16+'30yr Horizon_noshipping'!E6</f>
        <v>901333.14234202891</v>
      </c>
      <c r="D48" s="113">
        <f>'30yr Horizon_noshipping'!C16+'30yr Horizon_noshipping'!C6</f>
        <v>510084.77280261728</v>
      </c>
      <c r="E48" s="113">
        <f>'30yr Horizon_noshipping'!D16+'30yr Horizon_noshipping'!D6</f>
        <v>266418.93402861588</v>
      </c>
    </row>
    <row r="49" spans="1:5" x14ac:dyDescent="0.3">
      <c r="A49" s="111" t="s">
        <v>27</v>
      </c>
      <c r="B49" s="112">
        <f>'30yr Horizon_noshipping'!F10</f>
        <v>259675.53891363778</v>
      </c>
      <c r="C49" s="112">
        <f>'30yr Horizon_noshipping'!E10</f>
        <v>8049941.7063227715</v>
      </c>
      <c r="D49" s="112">
        <f>'30yr Horizon_noshipping'!C10</f>
        <v>4555852.0249317791</v>
      </c>
      <c r="E49" s="112">
        <f>'30yr Horizon_noshipping'!D10</f>
        <v>2379710.4338547373</v>
      </c>
    </row>
    <row r="50" spans="1:5" x14ac:dyDescent="0.3">
      <c r="A50" s="111" t="s">
        <v>18</v>
      </c>
      <c r="B50" s="114">
        <f>SUM(B47:B49)</f>
        <v>290384.7099908021</v>
      </c>
      <c r="C50" s="114">
        <f t="shared" ref="C50:E50" si="6">SUM(C47:C49)</f>
        <v>9001926.0097148661</v>
      </c>
      <c r="D50" s="114">
        <f t="shared" si="6"/>
        <v>5091338.2813987285</v>
      </c>
      <c r="E50" s="114">
        <f t="shared" si="6"/>
        <v>2656668.7667480554</v>
      </c>
    </row>
    <row r="53" spans="1:5" x14ac:dyDescent="0.3">
      <c r="A53" s="14" t="s">
        <v>332</v>
      </c>
    </row>
    <row r="54" spans="1:5" x14ac:dyDescent="0.3">
      <c r="A54" s="108" t="s">
        <v>28</v>
      </c>
      <c r="B54" s="109" t="s">
        <v>11</v>
      </c>
      <c r="C54" s="109" t="s">
        <v>12</v>
      </c>
      <c r="D54" s="109" t="s">
        <v>13</v>
      </c>
      <c r="E54" s="110" t="s">
        <v>14</v>
      </c>
    </row>
    <row r="55" spans="1:5" x14ac:dyDescent="0.3">
      <c r="A55" s="111" t="s">
        <v>21</v>
      </c>
      <c r="B55" s="112">
        <f>'30yr Horizon_shipping'!F7</f>
        <v>12985906.295790043</v>
      </c>
      <c r="C55" s="112">
        <f>'30yr Horizon_shipping'!E7</f>
        <v>402563095.16949135</v>
      </c>
      <c r="D55" s="112">
        <f>'30yr Horizon_shipping'!C7</f>
        <v>227400018.57103726</v>
      </c>
      <c r="E55" s="112">
        <f>'30yr Horizon_shipping'!D7</f>
        <v>118382159.84527214</v>
      </c>
    </row>
    <row r="56" spans="1:5" x14ac:dyDescent="0.3">
      <c r="A56" s="111" t="s">
        <v>29</v>
      </c>
      <c r="B56" s="113">
        <f>'30yr Horizon_shipping'!F12</f>
        <v>251.33978889460752</v>
      </c>
      <c r="C56" s="113">
        <f>'30yr Horizon_shipping'!E12</f>
        <v>7791.5334557328333</v>
      </c>
      <c r="D56" s="113">
        <f>'30yr Horizon_shipping'!C12</f>
        <v>3907.4427060075977</v>
      </c>
      <c r="E56" s="113">
        <f>'30yr Horizon_shipping'!D12</f>
        <v>1621.247709928524</v>
      </c>
    </row>
    <row r="57" spans="1:5" x14ac:dyDescent="0.3">
      <c r="A57" s="111" t="s">
        <v>18</v>
      </c>
      <c r="B57" s="112">
        <f>SUM(B55:B56)</f>
        <v>12986157.635578938</v>
      </c>
      <c r="C57" s="112">
        <f>SUM(C55:C56)</f>
        <v>402570886.70294708</v>
      </c>
      <c r="D57" s="112">
        <f>SUM(D55:D56)</f>
        <v>227403926.01374328</v>
      </c>
      <c r="E57" s="112">
        <f>SUM(E55:E56)</f>
        <v>118383781.09298207</v>
      </c>
    </row>
    <row r="59" spans="1:5" x14ac:dyDescent="0.3">
      <c r="A59" s="14" t="s">
        <v>338</v>
      </c>
    </row>
    <row r="60" spans="1:5" x14ac:dyDescent="0.3">
      <c r="A60" s="108" t="s">
        <v>28</v>
      </c>
      <c r="B60" s="109" t="s">
        <v>11</v>
      </c>
      <c r="C60" s="109" t="s">
        <v>12</v>
      </c>
      <c r="D60" s="109" t="s">
        <v>13</v>
      </c>
      <c r="E60" s="110" t="s">
        <v>14</v>
      </c>
    </row>
    <row r="61" spans="1:5" x14ac:dyDescent="0.3">
      <c r="A61" s="111" t="s">
        <v>20</v>
      </c>
      <c r="B61" s="112">
        <f>B32</f>
        <v>917520.23749485298</v>
      </c>
      <c r="C61" s="112">
        <f t="shared" ref="C61:E61" si="7">C32</f>
        <v>28443127.362340443</v>
      </c>
      <c r="D61" s="112">
        <f t="shared" si="7"/>
        <v>16097343.821425619</v>
      </c>
      <c r="E61" s="112">
        <f t="shared" si="7"/>
        <v>8408310.1996200755</v>
      </c>
    </row>
    <row r="62" spans="1:5" x14ac:dyDescent="0.3">
      <c r="A62" s="111" t="s">
        <v>18</v>
      </c>
      <c r="B62" s="113">
        <f>SUM(B61:B61)</f>
        <v>917520.23749485298</v>
      </c>
      <c r="C62" s="113">
        <f>SUM(C61:C61)</f>
        <v>28443127.362340443</v>
      </c>
      <c r="D62" s="113">
        <f>SUM(D61:D61)</f>
        <v>16097343.821425619</v>
      </c>
      <c r="E62" s="113">
        <f>SUM(E61:E61)</f>
        <v>8408310.1996200755</v>
      </c>
    </row>
    <row r="63" spans="1:5" x14ac:dyDescent="0.3">
      <c r="A63" s="14" t="s">
        <v>331</v>
      </c>
    </row>
    <row r="64" spans="1:5" x14ac:dyDescent="0.3">
      <c r="A64" s="108"/>
      <c r="B64" s="109" t="s">
        <v>11</v>
      </c>
      <c r="C64" s="109" t="s">
        <v>12</v>
      </c>
      <c r="D64" s="109" t="s">
        <v>13</v>
      </c>
      <c r="E64" s="110" t="s">
        <v>14</v>
      </c>
    </row>
    <row r="65" spans="1:5" x14ac:dyDescent="0.3">
      <c r="A65" s="111" t="s">
        <v>30</v>
      </c>
      <c r="B65" s="112">
        <f>'30yr Horizon_noshipping'!F8</f>
        <v>85260.135276644403</v>
      </c>
      <c r="C65" s="112">
        <f>'30yr Horizon_noshipping'!E8</f>
        <v>2643064.1935759764</v>
      </c>
      <c r="D65" s="112">
        <f>'30yr Horizon_noshipping'!C8</f>
        <v>1495838.081519268</v>
      </c>
      <c r="E65" s="112">
        <f>'30yr Horizon_noshipping'!D8</f>
        <v>781338.25911563903</v>
      </c>
    </row>
    <row r="69" spans="1:5" x14ac:dyDescent="0.3">
      <c r="A69" t="s">
        <v>31</v>
      </c>
      <c r="B69" s="55">
        <f>'Traffic_Reduced port VMT'!E49+'Traffic_Reduced highway VMT'!H66</f>
        <v>92.074631413014089</v>
      </c>
      <c r="C69">
        <f>'Air Quality'!C13</f>
        <v>1717.8356764580367</v>
      </c>
    </row>
    <row r="70" spans="1:5" x14ac:dyDescent="0.3">
      <c r="A70" t="s">
        <v>32</v>
      </c>
      <c r="B70" s="55">
        <f>'Traffic_Reduced port VMT'!E50+'Traffic_Reduced highway VMT'!H67</f>
        <v>0</v>
      </c>
    </row>
    <row r="71" spans="1:5" x14ac:dyDescent="0.3">
      <c r="A71" t="s">
        <v>33</v>
      </c>
      <c r="B71" s="55">
        <f>'Traffic_Reduced port VMT'!E51+'Traffic_Reduced highway VMT'!H68</f>
        <v>54224.710044982079</v>
      </c>
      <c r="C71">
        <f>'Air Quality'!C14</f>
        <v>6419.0278065673547</v>
      </c>
    </row>
    <row r="72" spans="1:5" x14ac:dyDescent="0.3">
      <c r="A72" t="s">
        <v>34</v>
      </c>
      <c r="B72" s="55">
        <f>'Traffic_Reduced port VMT'!E52+'Traffic_Reduced highway VMT'!H69</f>
        <v>2.6843915863852525</v>
      </c>
      <c r="C72">
        <f>'Air Quality'!C15</f>
        <v>28.045054675107853</v>
      </c>
    </row>
    <row r="74" spans="1:5" x14ac:dyDescent="0.3">
      <c r="A74" s="14" t="s">
        <v>330</v>
      </c>
    </row>
    <row r="75" spans="1:5" x14ac:dyDescent="0.3">
      <c r="A75" s="108" t="s">
        <v>35</v>
      </c>
      <c r="B75" s="109" t="s">
        <v>11</v>
      </c>
      <c r="C75" s="109" t="s">
        <v>12</v>
      </c>
      <c r="D75" s="109" t="s">
        <v>13</v>
      </c>
      <c r="E75" s="110" t="s">
        <v>14</v>
      </c>
    </row>
    <row r="76" spans="1:5" x14ac:dyDescent="0.3">
      <c r="A76" s="111" t="s">
        <v>36</v>
      </c>
      <c r="B76" s="112">
        <f>'30yr Horizon_noshipping'!F3+'30yr Horizon_noshipping'!F13</f>
        <v>258076.96782072561</v>
      </c>
      <c r="C76" s="112">
        <f>'30yr Horizon_noshipping'!E3+'30yr Horizon_noshipping'!E13</f>
        <v>8000386.002442494</v>
      </c>
      <c r="D76" s="112">
        <f>'30yr Horizon_noshipping'!C3+'30yr Horizon_noshipping'!C13</f>
        <v>4460047.1199945817</v>
      </c>
      <c r="E76" s="112">
        <f>'30yr Horizon_noshipping'!D3+'30yr Horizon_noshipping'!D13</f>
        <v>2285971.7857889901</v>
      </c>
    </row>
    <row r="77" spans="1:5" x14ac:dyDescent="0.3">
      <c r="A77" s="111" t="s">
        <v>37</v>
      </c>
      <c r="B77" s="113">
        <f>-'30yr Horizon_noshipping'!F21</f>
        <v>-1456634.0034026632</v>
      </c>
      <c r="C77" s="113">
        <f>-'30yr Horizon_noshipping'!E21</f>
        <v>-45155654.105482556</v>
      </c>
      <c r="D77" s="113">
        <f>-'30yr Horizon_noshipping'!C21</f>
        <v>-26372305.401487358</v>
      </c>
      <c r="E77" s="113">
        <f>-'30yr Horizon_noshipping'!D21</f>
        <v>-14486907.99543632</v>
      </c>
    </row>
    <row r="78" spans="1:5" x14ac:dyDescent="0.3">
      <c r="A78" s="111" t="s">
        <v>18</v>
      </c>
      <c r="B78" s="112">
        <f>SUM(B76:B77)</f>
        <v>-1198557.0355819375</v>
      </c>
      <c r="C78" s="112">
        <f t="shared" ref="C78:E78" si="8">SUM(C76:C77)</f>
        <v>-37155268.103040062</v>
      </c>
      <c r="D78" s="112">
        <f t="shared" si="8"/>
        <v>-21912258.281492777</v>
      </c>
      <c r="E78" s="112">
        <f t="shared" si="8"/>
        <v>-12200936.20964733</v>
      </c>
    </row>
    <row r="80" spans="1:5" x14ac:dyDescent="0.3">
      <c r="A80" s="14" t="s">
        <v>329</v>
      </c>
    </row>
    <row r="81" spans="1:5" x14ac:dyDescent="0.3">
      <c r="A81" s="108" t="s">
        <v>38</v>
      </c>
      <c r="B81" s="109" t="s">
        <v>11</v>
      </c>
      <c r="C81" s="109" t="s">
        <v>12</v>
      </c>
      <c r="D81" s="109" t="s">
        <v>13</v>
      </c>
      <c r="E81" s="110" t="s">
        <v>14</v>
      </c>
    </row>
    <row r="82" spans="1:5" x14ac:dyDescent="0.3">
      <c r="A82" s="111" t="s">
        <v>39</v>
      </c>
      <c r="B82" s="112">
        <f>'30yr Horizon_noshipping'!F5+'30yr Horizon_noshipping'!F15</f>
        <v>1146386.7456212176</v>
      </c>
      <c r="C82" s="112">
        <f>'30yr Horizon_noshipping'!E5+'30yr Horizon_noshipping'!E15</f>
        <v>35537989.114257745</v>
      </c>
      <c r="D82" s="112">
        <f>'30yr Horizon_noshipping'!C5+'30yr Horizon_noshipping'!C15</f>
        <v>20111750.308111101</v>
      </c>
      <c r="E82" s="112">
        <f>'30yr Horizon_noshipping'!D5+'30yr Horizon_noshipping'!D15</f>
        <v>10504432.526179412</v>
      </c>
    </row>
    <row r="83" spans="1:5" x14ac:dyDescent="0.3">
      <c r="A83" s="111" t="s">
        <v>40</v>
      </c>
      <c r="B83" s="113">
        <f>'30yr Horizon_noshipping'!F4+'30yr Horizon_noshipping'!F14</f>
        <v>641967.78833026858</v>
      </c>
      <c r="C83" s="113">
        <f>'30yr Horizon_noshipping'!E4+'30yr Horizon_noshipping'!E14</f>
        <v>19901001.438238326</v>
      </c>
      <c r="D83" s="113">
        <f>'30yr Horizon_noshipping'!C4+'30yr Horizon_noshipping'!C14</f>
        <v>11262425.978025651</v>
      </c>
      <c r="E83" s="113">
        <f>'30yr Horizon_noshipping'!D4+'30yr Horizon_noshipping'!D14</f>
        <v>5882401.6783635123</v>
      </c>
    </row>
    <row r="84" spans="1:5" x14ac:dyDescent="0.3">
      <c r="A84" s="111" t="s">
        <v>18</v>
      </c>
      <c r="B84" s="112">
        <f>SUM(B82:B83)</f>
        <v>1788354.5339514862</v>
      </c>
      <c r="C84" s="112">
        <f t="shared" ref="C84:E84" si="9">SUM(C82:C83)</f>
        <v>55438990.552496076</v>
      </c>
      <c r="D84" s="112">
        <f t="shared" si="9"/>
        <v>31374176.286136754</v>
      </c>
      <c r="E84" s="112">
        <f t="shared" si="9"/>
        <v>16386834.204542924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4C726-9A9C-4F3C-AAD3-124F7885516D}">
  <sheetPr>
    <tabColor rgb="FF7030A0"/>
  </sheetPr>
  <dimension ref="A1:AE37"/>
  <sheetViews>
    <sheetView workbookViewId="0">
      <selection activeCell="C18" sqref="C18"/>
    </sheetView>
  </sheetViews>
  <sheetFormatPr defaultRowHeight="14.4" x14ac:dyDescent="0.3"/>
  <cols>
    <col min="1" max="1" width="29.109375" customWidth="1"/>
    <col min="2" max="2" width="12.5546875" customWidth="1"/>
    <col min="3" max="3" width="11.5546875" customWidth="1"/>
    <col min="4" max="4" width="12.109375" customWidth="1"/>
    <col min="5" max="5" width="13" customWidth="1"/>
    <col min="9" max="9" width="11.6640625" customWidth="1"/>
    <col min="12" max="12" width="13.109375" customWidth="1"/>
    <col min="14" max="14" width="15.6640625" bestFit="1" customWidth="1"/>
    <col min="15" max="15" width="20.6640625" customWidth="1"/>
    <col min="16" max="16" width="14.21875" customWidth="1"/>
  </cols>
  <sheetData>
    <row r="1" spans="1:21" x14ac:dyDescent="0.3">
      <c r="N1" t="s">
        <v>336</v>
      </c>
    </row>
    <row r="2" spans="1:21" x14ac:dyDescent="0.3">
      <c r="A2" t="s">
        <v>220</v>
      </c>
      <c r="N2" t="s">
        <v>221</v>
      </c>
      <c r="O2">
        <v>108</v>
      </c>
    </row>
    <row r="3" spans="1:21" x14ac:dyDescent="0.3">
      <c r="A3" t="s">
        <v>222</v>
      </c>
      <c r="B3" t="s">
        <v>223</v>
      </c>
      <c r="C3" t="s">
        <v>224</v>
      </c>
    </row>
    <row r="4" spans="1:21" x14ac:dyDescent="0.3">
      <c r="C4" t="s">
        <v>225</v>
      </c>
      <c r="D4" t="s">
        <v>226</v>
      </c>
      <c r="E4" s="92"/>
    </row>
    <row r="5" spans="1:21" x14ac:dyDescent="0.3">
      <c r="A5" t="s">
        <v>227</v>
      </c>
    </row>
    <row r="6" spans="1:21" x14ac:dyDescent="0.3">
      <c r="B6" s="21">
        <v>2054700</v>
      </c>
      <c r="C6" s="21">
        <v>2054700</v>
      </c>
    </row>
    <row r="7" spans="1:21" x14ac:dyDescent="0.3">
      <c r="A7" t="s">
        <v>229</v>
      </c>
    </row>
    <row r="8" spans="1:21" x14ac:dyDescent="0.3">
      <c r="B8" s="21">
        <v>14529631</v>
      </c>
      <c r="C8" s="21">
        <v>9529631</v>
      </c>
      <c r="D8" s="8">
        <v>5000000</v>
      </c>
      <c r="G8" s="21"/>
      <c r="H8" s="21"/>
      <c r="J8" s="21"/>
      <c r="K8" s="21"/>
      <c r="L8" s="21"/>
      <c r="O8" s="91"/>
    </row>
    <row r="9" spans="1:21" x14ac:dyDescent="0.3">
      <c r="A9" t="s">
        <v>230</v>
      </c>
      <c r="B9" s="21">
        <v>2009839</v>
      </c>
      <c r="C9" s="21">
        <v>2009839</v>
      </c>
      <c r="H9" s="21"/>
      <c r="J9" s="21"/>
      <c r="L9" s="21"/>
    </row>
    <row r="10" spans="1:21" x14ac:dyDescent="0.3">
      <c r="A10" t="s">
        <v>231</v>
      </c>
      <c r="B10" s="21">
        <v>18594170</v>
      </c>
      <c r="C10" s="21">
        <v>13594170</v>
      </c>
      <c r="D10" s="21">
        <v>5000000</v>
      </c>
      <c r="L10" s="21"/>
      <c r="Q10" s="126" t="s">
        <v>335</v>
      </c>
      <c r="R10" s="126"/>
      <c r="S10" s="126"/>
    </row>
    <row r="11" spans="1:21" x14ac:dyDescent="0.3">
      <c r="A11" t="s">
        <v>232</v>
      </c>
      <c r="B11" s="27">
        <v>1</v>
      </c>
      <c r="C11" s="93">
        <v>0.73099999999999998</v>
      </c>
      <c r="D11" s="93">
        <v>0.26900000000000002</v>
      </c>
      <c r="H11" s="21"/>
      <c r="J11" s="21"/>
      <c r="L11" s="21"/>
      <c r="N11" t="s">
        <v>228</v>
      </c>
      <c r="O11" t="s">
        <v>218</v>
      </c>
      <c r="P11" t="s">
        <v>219</v>
      </c>
      <c r="Q11" s="12" t="s">
        <v>334</v>
      </c>
      <c r="R11" s="12"/>
      <c r="S11" t="s">
        <v>233</v>
      </c>
    </row>
    <row r="12" spans="1:21" x14ac:dyDescent="0.3">
      <c r="L12" s="21"/>
      <c r="N12" t="s">
        <v>234</v>
      </c>
      <c r="O12">
        <v>4.3</v>
      </c>
      <c r="P12">
        <v>15.3</v>
      </c>
      <c r="Q12" s="12">
        <f>(B9/1000000)*O12</f>
        <v>8.6423076999999999</v>
      </c>
      <c r="R12" s="12">
        <f>(B9/1000000)*P12</f>
        <v>30.750536700000001</v>
      </c>
      <c r="S12" s="39">
        <f>R12-Q12</f>
        <v>22.108229000000001</v>
      </c>
    </row>
    <row r="13" spans="1:21" x14ac:dyDescent="0.3">
      <c r="L13" s="21"/>
      <c r="N13" t="s">
        <v>235</v>
      </c>
      <c r="O13" s="91">
        <v>5.5</v>
      </c>
      <c r="P13">
        <v>10.9</v>
      </c>
      <c r="Q13" s="12">
        <f>((B6+B8)/1000000)*O13</f>
        <v>91.213820499999997</v>
      </c>
      <c r="R13" s="12">
        <f>((B6+B8)/1000000)*P13</f>
        <v>180.7692079</v>
      </c>
      <c r="S13" s="39">
        <f>R13-Q13</f>
        <v>89.555387400000001</v>
      </c>
    </row>
    <row r="14" spans="1:21" x14ac:dyDescent="0.3">
      <c r="G14" s="21"/>
      <c r="H14" s="21"/>
      <c r="I14" s="21"/>
      <c r="J14" s="21"/>
      <c r="L14" s="21"/>
      <c r="Q14" s="12"/>
      <c r="R14" s="12"/>
    </row>
    <row r="15" spans="1:21" x14ac:dyDescent="0.3">
      <c r="G15" s="21"/>
      <c r="H15" s="21"/>
      <c r="J15" s="21"/>
      <c r="K15" s="21"/>
      <c r="L15" s="21"/>
      <c r="N15" t="s">
        <v>117</v>
      </c>
      <c r="O15" s="20" t="s">
        <v>337</v>
      </c>
      <c r="Q15" s="12"/>
      <c r="R15" s="12"/>
    </row>
    <row r="16" spans="1:21" x14ac:dyDescent="0.3">
      <c r="G16" s="21"/>
      <c r="H16" s="21"/>
      <c r="I16" s="21"/>
      <c r="J16" s="21"/>
      <c r="L16" s="21"/>
      <c r="N16" s="14"/>
      <c r="O16" s="14"/>
      <c r="P16" s="14"/>
      <c r="Q16" s="107"/>
      <c r="R16" s="107"/>
      <c r="S16" s="14"/>
      <c r="T16" s="14"/>
      <c r="U16" s="14"/>
    </row>
    <row r="17" spans="1:31" x14ac:dyDescent="0.3">
      <c r="G17" s="21"/>
      <c r="K17" s="21"/>
      <c r="L17" s="21"/>
    </row>
    <row r="18" spans="1:31" x14ac:dyDescent="0.3">
      <c r="L18" s="21"/>
    </row>
    <row r="19" spans="1:31" x14ac:dyDescent="0.3">
      <c r="G19" s="21"/>
      <c r="K19" s="21"/>
      <c r="L19" s="21"/>
    </row>
    <row r="20" spans="1:31" x14ac:dyDescent="0.3">
      <c r="B20">
        <v>0.1</v>
      </c>
      <c r="C20">
        <v>0.3</v>
      </c>
      <c r="D20">
        <v>0.4</v>
      </c>
      <c r="E20">
        <v>0.2</v>
      </c>
    </row>
    <row r="21" spans="1:31" x14ac:dyDescent="0.3">
      <c r="A21" t="s">
        <v>236</v>
      </c>
      <c r="B21">
        <v>2022</v>
      </c>
      <c r="C21">
        <v>2023</v>
      </c>
      <c r="D21">
        <v>2024</v>
      </c>
      <c r="E21">
        <v>2025</v>
      </c>
      <c r="F21">
        <v>2026</v>
      </c>
      <c r="G21">
        <v>2027</v>
      </c>
    </row>
    <row r="22" spans="1:31" x14ac:dyDescent="0.3">
      <c r="A22" t="s">
        <v>237</v>
      </c>
      <c r="B22" s="21">
        <f>$B$10*B20</f>
        <v>1859417</v>
      </c>
      <c r="C22" s="21">
        <f t="shared" ref="C22:E22" si="0">$B$10*C20</f>
        <v>5578251</v>
      </c>
      <c r="D22" s="21">
        <f t="shared" si="0"/>
        <v>7437668</v>
      </c>
      <c r="E22" s="21">
        <f t="shared" si="0"/>
        <v>3718834</v>
      </c>
    </row>
    <row r="23" spans="1:31" x14ac:dyDescent="0.3">
      <c r="A23" t="s">
        <v>238</v>
      </c>
      <c r="B23" s="27">
        <v>0.15</v>
      </c>
      <c r="C23" s="27">
        <v>0.15</v>
      </c>
      <c r="D23" s="27">
        <v>0.15</v>
      </c>
      <c r="E23" s="27">
        <v>0.15</v>
      </c>
      <c r="F23" s="27">
        <v>0.15</v>
      </c>
      <c r="G23">
        <v>0.15</v>
      </c>
    </row>
    <row r="24" spans="1:31" x14ac:dyDescent="0.3">
      <c r="A24" t="s">
        <v>239</v>
      </c>
      <c r="B24" s="21">
        <f>B22*(1-B23)</f>
        <v>1580504.45</v>
      </c>
      <c r="C24" s="21">
        <f t="shared" ref="C24:G24" si="1">C22*(1-C23)</f>
        <v>4741513.3499999996</v>
      </c>
      <c r="D24" s="21">
        <f t="shared" si="1"/>
        <v>6322017.7999999998</v>
      </c>
      <c r="E24" s="21">
        <f t="shared" si="1"/>
        <v>3161008.9</v>
      </c>
      <c r="F24" s="21">
        <f t="shared" si="1"/>
        <v>0</v>
      </c>
      <c r="G24" s="21">
        <f t="shared" si="1"/>
        <v>0</v>
      </c>
    </row>
    <row r="26" spans="1:31" x14ac:dyDescent="0.3">
      <c r="A26" t="s">
        <v>240</v>
      </c>
    </row>
    <row r="29" spans="1:31" x14ac:dyDescent="0.3">
      <c r="A29" t="s">
        <v>241</v>
      </c>
      <c r="B29" s="92">
        <v>44999</v>
      </c>
    </row>
    <row r="30" spans="1:31" x14ac:dyDescent="0.3">
      <c r="A30" t="s">
        <v>242</v>
      </c>
      <c r="B30" s="92">
        <v>45863</v>
      </c>
    </row>
    <row r="31" spans="1:31" x14ac:dyDescent="0.3">
      <c r="C31">
        <v>23</v>
      </c>
      <c r="D31">
        <v>23</v>
      </c>
      <c r="E31">
        <v>23</v>
      </c>
      <c r="F31">
        <v>23</v>
      </c>
      <c r="G31">
        <v>23</v>
      </c>
      <c r="H31">
        <v>23</v>
      </c>
      <c r="I31">
        <v>23</v>
      </c>
      <c r="J31">
        <v>23</v>
      </c>
      <c r="K31">
        <v>23</v>
      </c>
      <c r="L31">
        <v>23</v>
      </c>
      <c r="M31">
        <v>24</v>
      </c>
      <c r="N31">
        <v>24</v>
      </c>
      <c r="O31">
        <v>24</v>
      </c>
      <c r="P31">
        <v>24</v>
      </c>
      <c r="Q31">
        <v>24</v>
      </c>
      <c r="R31">
        <v>24</v>
      </c>
      <c r="S31">
        <v>24</v>
      </c>
      <c r="T31">
        <v>24</v>
      </c>
      <c r="U31">
        <v>24</v>
      </c>
      <c r="V31">
        <v>24</v>
      </c>
      <c r="W31">
        <v>24</v>
      </c>
      <c r="X31">
        <v>24</v>
      </c>
      <c r="Y31">
        <v>25</v>
      </c>
      <c r="Z31">
        <v>25</v>
      </c>
      <c r="AA31">
        <v>25</v>
      </c>
      <c r="AB31">
        <v>25</v>
      </c>
      <c r="AC31">
        <v>25</v>
      </c>
      <c r="AD31">
        <v>25</v>
      </c>
      <c r="AE31">
        <v>25</v>
      </c>
    </row>
    <row r="32" spans="1:31" x14ac:dyDescent="0.3">
      <c r="C32" s="94">
        <v>44986</v>
      </c>
      <c r="D32" s="94">
        <v>45017</v>
      </c>
      <c r="E32" s="94">
        <v>45047</v>
      </c>
      <c r="F32" s="94">
        <v>45078</v>
      </c>
      <c r="G32" s="94">
        <v>45108</v>
      </c>
      <c r="H32" s="94">
        <v>45139</v>
      </c>
      <c r="I32" s="94">
        <v>45170</v>
      </c>
      <c r="J32" s="94">
        <v>45200</v>
      </c>
      <c r="K32" s="94">
        <v>45231</v>
      </c>
      <c r="L32" s="94">
        <v>45261</v>
      </c>
      <c r="M32" s="94">
        <v>45292</v>
      </c>
      <c r="N32" s="94">
        <v>45323</v>
      </c>
      <c r="O32" s="94">
        <v>45352</v>
      </c>
      <c r="P32" s="94">
        <v>45383</v>
      </c>
      <c r="Q32" s="94">
        <v>45413</v>
      </c>
      <c r="R32" s="94">
        <v>45444</v>
      </c>
      <c r="S32" s="94">
        <v>45474</v>
      </c>
      <c r="T32" s="94">
        <v>45505</v>
      </c>
      <c r="U32" s="94">
        <v>45536</v>
      </c>
      <c r="V32" s="94">
        <v>45566</v>
      </c>
      <c r="W32" s="94">
        <v>45597</v>
      </c>
      <c r="X32" s="94">
        <v>45627</v>
      </c>
      <c r="Y32" s="94">
        <v>45658</v>
      </c>
      <c r="Z32" s="94">
        <v>45689</v>
      </c>
      <c r="AA32" s="94">
        <v>45717</v>
      </c>
      <c r="AB32" s="94">
        <v>45748</v>
      </c>
      <c r="AC32" s="94">
        <v>45778</v>
      </c>
      <c r="AD32" s="94">
        <v>45809</v>
      </c>
      <c r="AE32" s="94">
        <v>45839</v>
      </c>
    </row>
    <row r="34" spans="1:3" x14ac:dyDescent="0.3">
      <c r="A34">
        <v>23</v>
      </c>
      <c r="B34">
        <f>COUNTIF($C$31:$AE$31,A34)</f>
        <v>10</v>
      </c>
      <c r="C34">
        <f>B34/B37</f>
        <v>0.34482758620689657</v>
      </c>
    </row>
    <row r="35" spans="1:3" x14ac:dyDescent="0.3">
      <c r="A35">
        <v>24</v>
      </c>
      <c r="B35">
        <f t="shared" ref="B35:B36" si="2">COUNTIF($C$31:$AE$31,A35)</f>
        <v>12</v>
      </c>
      <c r="C35">
        <f>B35/B37</f>
        <v>0.41379310344827586</v>
      </c>
    </row>
    <row r="36" spans="1:3" x14ac:dyDescent="0.3">
      <c r="A36">
        <v>25</v>
      </c>
      <c r="B36">
        <f t="shared" si="2"/>
        <v>7</v>
      </c>
      <c r="C36">
        <f>B36/B37</f>
        <v>0.2413793103448276</v>
      </c>
    </row>
    <row r="37" spans="1:3" x14ac:dyDescent="0.3">
      <c r="B37">
        <f>SUM(B34:B36)</f>
        <v>29</v>
      </c>
    </row>
  </sheetData>
  <mergeCells count="1">
    <mergeCell ref="Q10:S10"/>
  </mergeCells>
  <hyperlinks>
    <hyperlink ref="O15" r:id="rId1" display="https://www.epi.org/publication/updated-employment-multipliers-for-the-u-s-economy/" xr:uid="{58AD1D09-5897-49DF-ABA1-6B42B9DA786D}"/>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0B423-687D-4129-8B52-E2BA4CD166F9}">
  <sheetPr>
    <tabColor rgb="FF7030A0"/>
  </sheetPr>
  <dimension ref="A1:AO52"/>
  <sheetViews>
    <sheetView workbookViewId="0"/>
  </sheetViews>
  <sheetFormatPr defaultRowHeight="14.4" x14ac:dyDescent="0.3"/>
  <cols>
    <col min="3" max="3" width="29.109375" bestFit="1" customWidth="1"/>
    <col min="18" max="18" width="27.88671875" bestFit="1" customWidth="1"/>
    <col min="27" max="27" width="13.88671875" customWidth="1"/>
    <col min="28" max="29" width="11" customWidth="1"/>
    <col min="31" max="31" width="31.44140625" customWidth="1"/>
  </cols>
  <sheetData>
    <row r="1" spans="1:41" ht="23.4" x14ac:dyDescent="0.3">
      <c r="A1" s="20" t="s">
        <v>243</v>
      </c>
      <c r="Q1" s="20" t="s">
        <v>244</v>
      </c>
      <c r="AE1" s="84" t="s">
        <v>245</v>
      </c>
      <c r="AF1" s="77"/>
      <c r="AG1" s="77"/>
      <c r="AH1" s="77"/>
      <c r="AI1" s="20" t="s">
        <v>246</v>
      </c>
      <c r="AJ1" s="77"/>
      <c r="AK1" s="77"/>
      <c r="AL1" s="77"/>
      <c r="AM1" s="77"/>
      <c r="AN1" s="77"/>
      <c r="AO1" s="77"/>
    </row>
    <row r="2" spans="1:41" ht="15.6" x14ac:dyDescent="0.3">
      <c r="AE2" s="85"/>
      <c r="AF2" s="79">
        <v>2019</v>
      </c>
      <c r="AG2" s="79">
        <v>2018</v>
      </c>
      <c r="AH2" s="79">
        <v>2017</v>
      </c>
      <c r="AI2" s="79">
        <v>2016</v>
      </c>
      <c r="AJ2" s="79">
        <v>2015</v>
      </c>
      <c r="AK2" s="79">
        <v>2014</v>
      </c>
      <c r="AL2" s="79">
        <v>2013</v>
      </c>
      <c r="AM2" s="79">
        <v>2012</v>
      </c>
      <c r="AN2" s="79">
        <v>2011</v>
      </c>
      <c r="AO2" s="79">
        <v>2010</v>
      </c>
    </row>
    <row r="3" spans="1:41" ht="15.6" x14ac:dyDescent="0.3">
      <c r="B3" s="95" t="s">
        <v>236</v>
      </c>
      <c r="C3" s="95" t="s">
        <v>247</v>
      </c>
      <c r="Q3" s="95" t="s">
        <v>236</v>
      </c>
      <c r="R3" s="95" t="s">
        <v>248</v>
      </c>
      <c r="AE3" s="86" t="s">
        <v>249</v>
      </c>
      <c r="AF3" s="78"/>
      <c r="AG3" s="78"/>
      <c r="AH3" s="78"/>
      <c r="AI3" s="78"/>
      <c r="AJ3" s="78"/>
      <c r="AK3" s="78"/>
      <c r="AL3" s="78"/>
      <c r="AM3" s="78"/>
      <c r="AN3" s="78"/>
      <c r="AO3" s="78"/>
    </row>
    <row r="4" spans="1:41" x14ac:dyDescent="0.3">
      <c r="B4">
        <v>2011</v>
      </c>
      <c r="C4">
        <v>1.1000000000000001</v>
      </c>
      <c r="Q4">
        <v>2016</v>
      </c>
      <c r="R4">
        <v>96</v>
      </c>
      <c r="AA4" t="s">
        <v>250</v>
      </c>
      <c r="AB4" t="s">
        <v>251</v>
      </c>
      <c r="AC4" t="s">
        <v>252</v>
      </c>
      <c r="AE4" s="87" t="s">
        <v>253</v>
      </c>
      <c r="AF4" s="80">
        <v>33244</v>
      </c>
      <c r="AG4" s="80">
        <v>33919</v>
      </c>
      <c r="AH4" s="80">
        <v>34560</v>
      </c>
      <c r="AI4" s="80">
        <v>34748</v>
      </c>
      <c r="AJ4" s="80">
        <v>32538</v>
      </c>
      <c r="AK4" s="80">
        <v>30056</v>
      </c>
      <c r="AL4" s="80">
        <v>30202</v>
      </c>
      <c r="AM4" s="80">
        <v>31006</v>
      </c>
      <c r="AN4" s="80">
        <v>29867</v>
      </c>
      <c r="AO4" s="80">
        <v>30296</v>
      </c>
    </row>
    <row r="5" spans="1:41" x14ac:dyDescent="0.3">
      <c r="B5">
        <v>2012</v>
      </c>
      <c r="C5">
        <v>1.1399999999999999</v>
      </c>
      <c r="Q5">
        <v>2017</v>
      </c>
      <c r="R5">
        <v>86</v>
      </c>
      <c r="Z5">
        <v>2019</v>
      </c>
      <c r="AA5" s="80">
        <v>4806000</v>
      </c>
      <c r="AB5" s="80">
        <v>3261772</v>
      </c>
      <c r="AC5" s="89">
        <f>AA5/AB5</f>
        <v>1.4734322325410851</v>
      </c>
      <c r="AE5" s="87" t="s">
        <v>254</v>
      </c>
      <c r="AF5" s="80">
        <v>1916000</v>
      </c>
      <c r="AG5" s="80">
        <v>1894000</v>
      </c>
      <c r="AH5" s="80">
        <v>1889000</v>
      </c>
      <c r="AI5" s="80">
        <v>2116000</v>
      </c>
      <c r="AJ5" s="80">
        <v>1715000</v>
      </c>
      <c r="AK5" s="80">
        <v>1648000</v>
      </c>
      <c r="AL5" s="80">
        <v>1591000</v>
      </c>
      <c r="AM5" s="80">
        <v>1634000</v>
      </c>
      <c r="AN5" s="80">
        <v>1530000</v>
      </c>
      <c r="AO5" s="80">
        <v>1542000</v>
      </c>
    </row>
    <row r="6" spans="1:41" x14ac:dyDescent="0.3">
      <c r="B6">
        <v>2013</v>
      </c>
      <c r="C6">
        <v>1.1000000000000001</v>
      </c>
      <c r="Q6">
        <v>2018</v>
      </c>
      <c r="R6">
        <v>84</v>
      </c>
      <c r="Z6">
        <v>2018</v>
      </c>
      <c r="AA6" s="80">
        <v>4807000</v>
      </c>
      <c r="AB6" s="80">
        <v>3240327</v>
      </c>
      <c r="AC6" s="89">
        <f t="shared" ref="AC6:AC14" si="0">AA6/AB6</f>
        <v>1.4834922524794565</v>
      </c>
      <c r="AE6" s="87" t="s">
        <v>255</v>
      </c>
      <c r="AF6" s="80">
        <v>4806000</v>
      </c>
      <c r="AG6" s="80">
        <v>4807000</v>
      </c>
      <c r="AH6" s="80">
        <v>4530000</v>
      </c>
      <c r="AI6" s="80">
        <v>4670000</v>
      </c>
      <c r="AJ6" s="80">
        <v>4548000</v>
      </c>
      <c r="AK6" s="80">
        <v>4387000</v>
      </c>
      <c r="AL6" s="80">
        <v>4066000</v>
      </c>
      <c r="AM6" s="80">
        <v>3950000</v>
      </c>
      <c r="AN6" s="80">
        <v>3778000</v>
      </c>
      <c r="AO6" s="80">
        <v>3847000</v>
      </c>
    </row>
    <row r="7" spans="1:41" x14ac:dyDescent="0.3">
      <c r="B7">
        <v>2014</v>
      </c>
      <c r="C7">
        <v>1.08</v>
      </c>
      <c r="Q7">
        <v>2019</v>
      </c>
      <c r="R7">
        <v>84</v>
      </c>
      <c r="Z7">
        <v>2017</v>
      </c>
      <c r="AA7" s="80">
        <v>4530000</v>
      </c>
      <c r="AB7" s="80">
        <v>3210248</v>
      </c>
      <c r="AC7" s="89">
        <f t="shared" si="0"/>
        <v>1.4111059332487708</v>
      </c>
      <c r="AE7" s="88" t="s">
        <v>256</v>
      </c>
      <c r="AF7" s="80">
        <v>6756000</v>
      </c>
      <c r="AG7" s="80">
        <v>6735000</v>
      </c>
      <c r="AH7" s="80">
        <v>6453000</v>
      </c>
      <c r="AI7" s="80">
        <v>6821000</v>
      </c>
      <c r="AJ7" s="80">
        <v>6296000</v>
      </c>
      <c r="AK7" s="80">
        <v>6064000</v>
      </c>
      <c r="AL7" s="80">
        <v>5687000</v>
      </c>
      <c r="AM7" s="80">
        <v>5615000</v>
      </c>
      <c r="AN7" s="80">
        <v>5338000</v>
      </c>
      <c r="AO7" s="80">
        <v>5419000</v>
      </c>
    </row>
    <row r="8" spans="1:41" ht="15.6" x14ac:dyDescent="0.3">
      <c r="B8">
        <v>2015</v>
      </c>
      <c r="C8">
        <v>1.1499999999999999</v>
      </c>
      <c r="Q8" s="14" t="s">
        <v>45</v>
      </c>
      <c r="R8" s="14">
        <f>AVERAGE(R4:R7)</f>
        <v>87.5</v>
      </c>
      <c r="Z8">
        <v>2016</v>
      </c>
      <c r="AA8" s="80">
        <v>4670000</v>
      </c>
      <c r="AB8" s="80">
        <v>3173815</v>
      </c>
      <c r="AC8" s="89">
        <f t="shared" si="0"/>
        <v>1.4714153156374898</v>
      </c>
      <c r="AE8" s="86" t="s">
        <v>257</v>
      </c>
      <c r="AF8" s="78"/>
      <c r="AG8" s="78"/>
      <c r="AH8" s="78"/>
      <c r="AI8" s="78"/>
      <c r="AJ8" s="78"/>
      <c r="AK8" s="78"/>
      <c r="AL8" s="78"/>
      <c r="AM8" s="78"/>
      <c r="AN8" s="78"/>
      <c r="AO8" s="78"/>
    </row>
    <row r="9" spans="1:41" x14ac:dyDescent="0.3">
      <c r="B9">
        <v>2016</v>
      </c>
      <c r="C9">
        <v>1.19</v>
      </c>
      <c r="Z9">
        <v>2015</v>
      </c>
      <c r="AA9" s="80">
        <v>4548000</v>
      </c>
      <c r="AB9" s="80">
        <v>3089841</v>
      </c>
      <c r="AC9" s="89">
        <f t="shared" si="0"/>
        <v>1.4719203997875618</v>
      </c>
      <c r="AE9" s="88" t="s">
        <v>258</v>
      </c>
      <c r="AF9" s="80">
        <v>23744</v>
      </c>
      <c r="AG9" s="80">
        <v>24332</v>
      </c>
      <c r="AH9" s="80">
        <v>25130</v>
      </c>
      <c r="AI9" s="80">
        <v>25276</v>
      </c>
      <c r="AJ9" s="80">
        <v>23899</v>
      </c>
      <c r="AK9" s="80">
        <v>22307</v>
      </c>
      <c r="AL9" s="80">
        <v>22483</v>
      </c>
      <c r="AM9" s="80">
        <v>23017</v>
      </c>
      <c r="AN9" s="80">
        <v>22510</v>
      </c>
      <c r="AO9" s="80">
        <v>23371</v>
      </c>
    </row>
    <row r="10" spans="1:41" x14ac:dyDescent="0.3">
      <c r="B10">
        <v>2017</v>
      </c>
      <c r="C10">
        <v>1.17</v>
      </c>
      <c r="Z10">
        <v>2014</v>
      </c>
      <c r="AA10" s="80">
        <v>4387000</v>
      </c>
      <c r="AB10" s="80">
        <v>3020377</v>
      </c>
      <c r="AC10" s="89">
        <f t="shared" si="0"/>
        <v>1.45246768863622</v>
      </c>
      <c r="AE10" s="87" t="s">
        <v>259</v>
      </c>
      <c r="AF10" s="80">
        <v>17880</v>
      </c>
      <c r="AG10" s="80">
        <v>18321</v>
      </c>
      <c r="AH10" s="80">
        <v>18819</v>
      </c>
      <c r="AI10" s="80">
        <v>18717</v>
      </c>
      <c r="AJ10" s="80">
        <v>17615</v>
      </c>
      <c r="AK10" s="80">
        <v>16470</v>
      </c>
      <c r="AL10" s="80">
        <v>16520</v>
      </c>
      <c r="AM10" s="80">
        <v>16838</v>
      </c>
      <c r="AN10" s="80">
        <v>16474</v>
      </c>
      <c r="AO10" s="80">
        <v>16864</v>
      </c>
    </row>
    <row r="11" spans="1:41" x14ac:dyDescent="0.3">
      <c r="B11">
        <v>2018</v>
      </c>
      <c r="C11">
        <v>1.1399999999999999</v>
      </c>
      <c r="Z11">
        <v>2013</v>
      </c>
      <c r="AA11" s="80">
        <v>4066000</v>
      </c>
      <c r="AB11" s="80">
        <v>2982941</v>
      </c>
      <c r="AC11" s="89">
        <f t="shared" si="0"/>
        <v>1.3630842849389244</v>
      </c>
      <c r="AE11" s="87" t="s">
        <v>260</v>
      </c>
      <c r="AF11" s="80">
        <v>5807</v>
      </c>
      <c r="AG11" s="80">
        <v>5962</v>
      </c>
      <c r="AH11" s="80">
        <v>6237</v>
      </c>
      <c r="AI11" s="80">
        <v>6485</v>
      </c>
      <c r="AJ11" s="80">
        <v>6213</v>
      </c>
      <c r="AK11" s="80">
        <v>5766</v>
      </c>
      <c r="AL11" s="80">
        <v>5896</v>
      </c>
      <c r="AM11" s="80">
        <v>6106</v>
      </c>
      <c r="AN11" s="80">
        <v>5972</v>
      </c>
      <c r="AO11" s="80">
        <v>6451</v>
      </c>
    </row>
    <row r="12" spans="1:41" x14ac:dyDescent="0.3">
      <c r="B12">
        <v>2019</v>
      </c>
      <c r="C12">
        <v>1.1100000000000001</v>
      </c>
      <c r="Z12">
        <v>2012</v>
      </c>
      <c r="AA12" s="80">
        <v>3950000</v>
      </c>
      <c r="AB12" s="80">
        <v>2963497</v>
      </c>
      <c r="AC12" s="89">
        <f t="shared" si="0"/>
        <v>1.3328847641823156</v>
      </c>
      <c r="AE12" s="87" t="s">
        <v>261</v>
      </c>
      <c r="AF12" s="81">
        <v>57</v>
      </c>
      <c r="AG12" s="81">
        <v>49</v>
      </c>
      <c r="AH12" s="81">
        <v>74</v>
      </c>
      <c r="AI12" s="81">
        <v>74</v>
      </c>
      <c r="AJ12" s="81">
        <v>71</v>
      </c>
      <c r="AK12" s="81">
        <v>71</v>
      </c>
      <c r="AL12" s="81">
        <v>67</v>
      </c>
      <c r="AM12" s="81">
        <v>73</v>
      </c>
      <c r="AN12" s="81">
        <v>64</v>
      </c>
      <c r="AO12" s="81">
        <v>56</v>
      </c>
    </row>
    <row r="13" spans="1:41" x14ac:dyDescent="0.3">
      <c r="B13">
        <v>2020</v>
      </c>
      <c r="C13">
        <v>1.37</v>
      </c>
      <c r="Z13">
        <v>2011</v>
      </c>
      <c r="AA13" s="80">
        <v>3778000</v>
      </c>
      <c r="AB13" s="80">
        <v>2945194</v>
      </c>
      <c r="AC13" s="89">
        <f t="shared" si="0"/>
        <v>1.2827677905088766</v>
      </c>
      <c r="AE13" s="88" t="s">
        <v>262</v>
      </c>
      <c r="AF13" s="80">
        <v>5014</v>
      </c>
      <c r="AG13" s="80">
        <v>5038</v>
      </c>
      <c r="AH13" s="80">
        <v>5226</v>
      </c>
      <c r="AI13" s="80">
        <v>5337</v>
      </c>
      <c r="AJ13" s="80">
        <v>5029</v>
      </c>
      <c r="AK13" s="80">
        <v>4594</v>
      </c>
      <c r="AL13" s="80">
        <v>4692</v>
      </c>
      <c r="AM13" s="80">
        <v>4986</v>
      </c>
      <c r="AN13" s="80">
        <v>4630</v>
      </c>
      <c r="AO13" s="80">
        <v>4518</v>
      </c>
    </row>
    <row r="14" spans="1:41" x14ac:dyDescent="0.3">
      <c r="B14">
        <v>2021</v>
      </c>
      <c r="Z14">
        <v>2010</v>
      </c>
      <c r="AA14" s="80">
        <v>3847000</v>
      </c>
      <c r="AB14" s="80">
        <v>2967266</v>
      </c>
      <c r="AC14" s="89">
        <f t="shared" si="0"/>
        <v>1.2964796550090218</v>
      </c>
      <c r="AE14" s="88" t="s">
        <v>263</v>
      </c>
      <c r="AF14" s="80">
        <v>7338</v>
      </c>
      <c r="AG14" s="80">
        <v>7465</v>
      </c>
      <c r="AH14" s="80">
        <v>7117</v>
      </c>
      <c r="AI14" s="80">
        <v>7193</v>
      </c>
      <c r="AJ14" s="80">
        <v>6556</v>
      </c>
      <c r="AK14" s="80">
        <v>5843</v>
      </c>
      <c r="AL14" s="80">
        <v>5718</v>
      </c>
      <c r="AM14" s="80">
        <v>5779</v>
      </c>
      <c r="AN14" s="80">
        <v>5339</v>
      </c>
      <c r="AO14" s="80">
        <v>5110</v>
      </c>
    </row>
    <row r="15" spans="1:41" x14ac:dyDescent="0.3">
      <c r="B15" s="14" t="s">
        <v>45</v>
      </c>
      <c r="C15" s="14">
        <f>AVERAGE(C4:C13)</f>
        <v>1.155</v>
      </c>
      <c r="Z15" s="8"/>
      <c r="AE15" s="87" t="s">
        <v>264</v>
      </c>
      <c r="AF15" s="80">
        <v>6205</v>
      </c>
      <c r="AG15" s="80">
        <v>6374</v>
      </c>
      <c r="AH15" s="80">
        <v>6075</v>
      </c>
      <c r="AI15" s="80">
        <v>6080</v>
      </c>
      <c r="AJ15" s="80">
        <v>5494</v>
      </c>
      <c r="AK15" s="80">
        <v>4910</v>
      </c>
      <c r="AL15" s="80">
        <v>4779</v>
      </c>
      <c r="AM15" s="80">
        <v>4818</v>
      </c>
      <c r="AN15" s="80">
        <v>4457</v>
      </c>
      <c r="AO15" s="80">
        <v>4302</v>
      </c>
    </row>
    <row r="16" spans="1:41" x14ac:dyDescent="0.3">
      <c r="Z16" s="96" t="s">
        <v>265</v>
      </c>
      <c r="AA16" s="14"/>
      <c r="AB16" s="14"/>
      <c r="AC16" s="97">
        <f>AVERAGE(AC5:AC8)</f>
        <v>1.4598614334767006</v>
      </c>
      <c r="AE16" s="87" t="s">
        <v>266</v>
      </c>
      <c r="AF16" s="81">
        <v>846</v>
      </c>
      <c r="AG16" s="81">
        <v>871</v>
      </c>
      <c r="AH16" s="81">
        <v>806</v>
      </c>
      <c r="AI16" s="81">
        <v>853</v>
      </c>
      <c r="AJ16" s="81">
        <v>829</v>
      </c>
      <c r="AK16" s="81">
        <v>729</v>
      </c>
      <c r="AL16" s="81">
        <v>749</v>
      </c>
      <c r="AM16" s="81">
        <v>734</v>
      </c>
      <c r="AN16" s="81">
        <v>682</v>
      </c>
      <c r="AO16" s="81">
        <v>623</v>
      </c>
    </row>
    <row r="17" spans="26:41" x14ac:dyDescent="0.3">
      <c r="Z17" s="8"/>
      <c r="AE17" s="87" t="s">
        <v>267</v>
      </c>
      <c r="AF17" s="81">
        <v>287</v>
      </c>
      <c r="AG17" s="81">
        <v>220</v>
      </c>
      <c r="AH17" s="81">
        <v>236</v>
      </c>
      <c r="AI17" s="81">
        <v>260</v>
      </c>
      <c r="AJ17" s="81">
        <v>233</v>
      </c>
      <c r="AK17" s="81">
        <v>204</v>
      </c>
      <c r="AL17" s="81">
        <v>190</v>
      </c>
      <c r="AM17" s="81">
        <v>227</v>
      </c>
      <c r="AN17" s="81">
        <v>200</v>
      </c>
      <c r="AO17" s="81">
        <v>185</v>
      </c>
    </row>
    <row r="18" spans="26:41" x14ac:dyDescent="0.3">
      <c r="Z18" s="8"/>
      <c r="AE18" s="88" t="s">
        <v>256</v>
      </c>
      <c r="AF18" s="80">
        <v>36096</v>
      </c>
      <c r="AG18" s="80">
        <v>36835</v>
      </c>
      <c r="AH18" s="80">
        <v>37473</v>
      </c>
      <c r="AI18" s="80">
        <v>37806</v>
      </c>
      <c r="AJ18" s="80">
        <v>35484</v>
      </c>
      <c r="AK18" s="80">
        <v>32744</v>
      </c>
      <c r="AL18" s="80">
        <v>32893</v>
      </c>
      <c r="AM18" s="80">
        <v>33782</v>
      </c>
      <c r="AN18" s="80">
        <v>32479</v>
      </c>
      <c r="AO18" s="80">
        <v>32999</v>
      </c>
    </row>
    <row r="19" spans="26:41" ht="15.6" x14ac:dyDescent="0.3">
      <c r="Z19" s="8"/>
      <c r="AE19" s="86" t="s">
        <v>268</v>
      </c>
      <c r="AF19" s="78"/>
      <c r="AG19" s="78"/>
      <c r="AH19" s="78"/>
      <c r="AI19" s="78"/>
      <c r="AJ19" s="78"/>
      <c r="AK19" s="78"/>
      <c r="AL19" s="78"/>
      <c r="AM19" s="78"/>
      <c r="AN19" s="78"/>
      <c r="AO19" s="78"/>
    </row>
    <row r="20" spans="26:41" x14ac:dyDescent="0.3">
      <c r="Z20" s="8"/>
      <c r="AE20" s="88" t="s">
        <v>258</v>
      </c>
      <c r="AF20" s="80">
        <v>2516000</v>
      </c>
      <c r="AG20" s="80">
        <v>2492000</v>
      </c>
      <c r="AH20" s="80">
        <v>2523000</v>
      </c>
      <c r="AI20" s="80">
        <v>2791000</v>
      </c>
      <c r="AJ20" s="80">
        <v>2241000</v>
      </c>
      <c r="AK20" s="80">
        <v>2125000</v>
      </c>
      <c r="AL20" s="80">
        <v>2105000</v>
      </c>
      <c r="AM20" s="80">
        <v>2140000</v>
      </c>
      <c r="AN20" s="80">
        <v>2019000</v>
      </c>
      <c r="AO20" s="80">
        <v>2036000</v>
      </c>
    </row>
    <row r="21" spans="26:41" x14ac:dyDescent="0.3">
      <c r="Z21" s="8"/>
      <c r="AE21" s="87" t="s">
        <v>259</v>
      </c>
      <c r="AF21" s="80">
        <v>1858000</v>
      </c>
      <c r="AG21" s="80">
        <v>1808000</v>
      </c>
      <c r="AH21" s="80">
        <v>1816000</v>
      </c>
      <c r="AI21" s="80">
        <v>2004000</v>
      </c>
      <c r="AJ21" s="80">
        <v>1610000</v>
      </c>
      <c r="AK21" s="80">
        <v>1526000</v>
      </c>
      <c r="AL21" s="80">
        <v>1454000</v>
      </c>
      <c r="AM21" s="80">
        <v>1492000</v>
      </c>
      <c r="AN21" s="80">
        <v>1420000</v>
      </c>
      <c r="AO21" s="80">
        <v>1435000</v>
      </c>
    </row>
    <row r="22" spans="26:41" x14ac:dyDescent="0.3">
      <c r="AE22" s="87" t="s">
        <v>260</v>
      </c>
      <c r="AF22" s="80">
        <v>657000</v>
      </c>
      <c r="AG22" s="80">
        <v>681000</v>
      </c>
      <c r="AH22" s="80">
        <v>707000</v>
      </c>
      <c r="AI22" s="80">
        <v>787000</v>
      </c>
      <c r="AJ22" s="80">
        <v>629000</v>
      </c>
      <c r="AK22" s="80">
        <v>599000</v>
      </c>
      <c r="AL22" s="80">
        <v>650000</v>
      </c>
      <c r="AM22" s="80">
        <v>647000</v>
      </c>
      <c r="AN22" s="80">
        <v>599000</v>
      </c>
      <c r="AO22" s="80">
        <v>600000</v>
      </c>
    </row>
    <row r="23" spans="26:41" x14ac:dyDescent="0.3">
      <c r="AE23" s="87" t="s">
        <v>261</v>
      </c>
      <c r="AF23" s="80">
        <v>1000</v>
      </c>
      <c r="AG23" s="80">
        <v>3000</v>
      </c>
      <c r="AH23" s="82" t="s">
        <v>269</v>
      </c>
      <c r="AI23" s="80">
        <v>1000</v>
      </c>
      <c r="AJ23" s="80">
        <v>1000</v>
      </c>
      <c r="AK23" s="82" t="s">
        <v>269</v>
      </c>
      <c r="AL23" s="82" t="s">
        <v>269</v>
      </c>
      <c r="AM23" s="80">
        <v>1000</v>
      </c>
      <c r="AN23" s="80">
        <v>1000</v>
      </c>
      <c r="AO23" s="82" t="s">
        <v>269</v>
      </c>
    </row>
    <row r="24" spans="26:41" x14ac:dyDescent="0.3">
      <c r="AE24" s="88" t="s">
        <v>262</v>
      </c>
      <c r="AF24" s="80">
        <v>84000</v>
      </c>
      <c r="AG24" s="80">
        <v>82000</v>
      </c>
      <c r="AH24" s="80">
        <v>89000</v>
      </c>
      <c r="AI24" s="80">
        <v>104000</v>
      </c>
      <c r="AJ24" s="80">
        <v>89000</v>
      </c>
      <c r="AK24" s="80">
        <v>92000</v>
      </c>
      <c r="AL24" s="80">
        <v>89000</v>
      </c>
      <c r="AM24" s="80">
        <v>93000</v>
      </c>
      <c r="AN24" s="80">
        <v>82000</v>
      </c>
      <c r="AO24" s="80">
        <v>82000</v>
      </c>
    </row>
    <row r="25" spans="26:41" x14ac:dyDescent="0.3">
      <c r="AE25" s="88" t="s">
        <v>263</v>
      </c>
      <c r="AF25" s="80">
        <v>140000</v>
      </c>
      <c r="AG25" s="80">
        <v>137000</v>
      </c>
      <c r="AH25" s="80">
        <v>133000</v>
      </c>
      <c r="AI25" s="80">
        <v>166000</v>
      </c>
      <c r="AJ25" s="80">
        <v>125000</v>
      </c>
      <c r="AK25" s="80">
        <v>125000</v>
      </c>
      <c r="AL25" s="80">
        <v>125000</v>
      </c>
      <c r="AM25" s="80">
        <v>136000</v>
      </c>
      <c r="AN25" s="80">
        <v>126000</v>
      </c>
      <c r="AO25" s="80">
        <v>130000</v>
      </c>
    </row>
    <row r="26" spans="26:41" x14ac:dyDescent="0.3">
      <c r="AE26" s="87" t="s">
        <v>264</v>
      </c>
      <c r="AF26" s="80">
        <v>76000</v>
      </c>
      <c r="AG26" s="80">
        <v>75000</v>
      </c>
      <c r="AH26" s="80">
        <v>71000</v>
      </c>
      <c r="AI26" s="80">
        <v>86000</v>
      </c>
      <c r="AJ26" s="80">
        <v>70000</v>
      </c>
      <c r="AK26" s="80">
        <v>65000</v>
      </c>
      <c r="AL26" s="80">
        <v>66000</v>
      </c>
      <c r="AM26" s="80">
        <v>76000</v>
      </c>
      <c r="AN26" s="80">
        <v>69000</v>
      </c>
      <c r="AO26" s="80">
        <v>70000</v>
      </c>
    </row>
    <row r="27" spans="26:41" x14ac:dyDescent="0.3">
      <c r="AE27" s="87" t="s">
        <v>266</v>
      </c>
      <c r="AF27" s="80">
        <v>49000</v>
      </c>
      <c r="AG27" s="80">
        <v>47000</v>
      </c>
      <c r="AH27" s="80">
        <v>50000</v>
      </c>
      <c r="AI27" s="80">
        <v>64000</v>
      </c>
      <c r="AJ27" s="80">
        <v>45000</v>
      </c>
      <c r="AK27" s="80">
        <v>50000</v>
      </c>
      <c r="AL27" s="80">
        <v>48000</v>
      </c>
      <c r="AM27" s="80">
        <v>49000</v>
      </c>
      <c r="AN27" s="80">
        <v>48000</v>
      </c>
      <c r="AO27" s="80">
        <v>52000</v>
      </c>
    </row>
    <row r="28" spans="26:41" x14ac:dyDescent="0.3">
      <c r="AE28" s="87" t="s">
        <v>267</v>
      </c>
      <c r="AF28" s="80">
        <v>16000</v>
      </c>
      <c r="AG28" s="80">
        <v>15000</v>
      </c>
      <c r="AH28" s="80">
        <v>12000</v>
      </c>
      <c r="AI28" s="80">
        <v>16000</v>
      </c>
      <c r="AJ28" s="80">
        <v>10000</v>
      </c>
      <c r="AK28" s="80">
        <v>10000</v>
      </c>
      <c r="AL28" s="80">
        <v>11000</v>
      </c>
      <c r="AM28" s="80">
        <v>10000</v>
      </c>
      <c r="AN28" s="80">
        <v>9000</v>
      </c>
      <c r="AO28" s="80">
        <v>8000</v>
      </c>
    </row>
    <row r="29" spans="26:41" x14ac:dyDescent="0.3">
      <c r="AE29" s="88" t="s">
        <v>256</v>
      </c>
      <c r="AF29" s="80">
        <v>2740000</v>
      </c>
      <c r="AG29" s="80">
        <v>2710000</v>
      </c>
      <c r="AH29" s="80">
        <v>2745000</v>
      </c>
      <c r="AI29" s="80">
        <v>3062000</v>
      </c>
      <c r="AJ29" s="80">
        <v>2455000</v>
      </c>
      <c r="AK29" s="80">
        <v>2343000</v>
      </c>
      <c r="AL29" s="80">
        <v>2319000</v>
      </c>
      <c r="AM29" s="80">
        <v>2369000</v>
      </c>
      <c r="AN29" s="80">
        <v>2227000</v>
      </c>
      <c r="AO29" s="80">
        <v>2248000</v>
      </c>
    </row>
    <row r="30" spans="26:41" ht="15.6" x14ac:dyDescent="0.3">
      <c r="AE30" s="86" t="s">
        <v>270</v>
      </c>
      <c r="AF30" s="78"/>
      <c r="AG30" s="78"/>
      <c r="AH30" s="78"/>
      <c r="AI30" s="78"/>
      <c r="AJ30" s="78"/>
      <c r="AK30" s="78"/>
      <c r="AL30" s="78"/>
      <c r="AM30" s="78"/>
      <c r="AN30" s="78"/>
      <c r="AO30" s="78"/>
    </row>
    <row r="31" spans="26:41" x14ac:dyDescent="0.3">
      <c r="AE31" s="87" t="s">
        <v>271</v>
      </c>
      <c r="AF31" s="80">
        <v>3261772</v>
      </c>
      <c r="AG31" s="80">
        <v>3240327</v>
      </c>
      <c r="AH31" s="80">
        <v>3210248</v>
      </c>
      <c r="AI31" s="80">
        <v>3173815</v>
      </c>
      <c r="AJ31" s="80">
        <v>3089841</v>
      </c>
      <c r="AK31" s="80">
        <v>3020377</v>
      </c>
      <c r="AL31" s="80">
        <v>2982941</v>
      </c>
      <c r="AM31" s="80">
        <v>2963497</v>
      </c>
      <c r="AN31" s="80">
        <v>2945194</v>
      </c>
      <c r="AO31" s="80">
        <v>2967266</v>
      </c>
    </row>
    <row r="32" spans="26:41" x14ac:dyDescent="0.3">
      <c r="AE32" s="87" t="s">
        <v>272</v>
      </c>
      <c r="AF32" s="80">
        <v>328239523</v>
      </c>
      <c r="AG32" s="80">
        <v>326687501</v>
      </c>
      <c r="AH32" s="80">
        <v>324985539</v>
      </c>
      <c r="AI32" s="80">
        <v>322941311</v>
      </c>
      <c r="AJ32" s="80">
        <v>320635163</v>
      </c>
      <c r="AK32" s="80">
        <v>318301008</v>
      </c>
      <c r="AL32" s="80">
        <v>315993715</v>
      </c>
      <c r="AM32" s="80">
        <v>313830990</v>
      </c>
      <c r="AN32" s="80">
        <v>311556874</v>
      </c>
      <c r="AO32" s="80">
        <v>309321666</v>
      </c>
    </row>
    <row r="33" spans="31:41" x14ac:dyDescent="0.3">
      <c r="AE33" s="87" t="s">
        <v>273</v>
      </c>
      <c r="AF33" s="80">
        <v>299267114</v>
      </c>
      <c r="AG33" s="80">
        <v>297036214</v>
      </c>
      <c r="AH33" s="80">
        <v>290335891</v>
      </c>
      <c r="AI33" s="80">
        <v>288033900</v>
      </c>
      <c r="AJ33" s="80">
        <v>281312446</v>
      </c>
      <c r="AK33" s="80">
        <v>274804904</v>
      </c>
      <c r="AL33" s="80">
        <v>269294302</v>
      </c>
      <c r="AM33" s="80">
        <v>265647194</v>
      </c>
      <c r="AN33" s="80">
        <v>265043362</v>
      </c>
      <c r="AO33" s="80">
        <v>257312235</v>
      </c>
    </row>
    <row r="34" spans="31:41" x14ac:dyDescent="0.3">
      <c r="AE34" s="87" t="s">
        <v>274</v>
      </c>
      <c r="AF34" s="80">
        <v>228679719</v>
      </c>
      <c r="AG34" s="80">
        <v>227558385</v>
      </c>
      <c r="AH34" s="80">
        <v>225346257</v>
      </c>
      <c r="AI34" s="80">
        <v>221711918</v>
      </c>
      <c r="AJ34" s="80">
        <v>218084465</v>
      </c>
      <c r="AK34" s="80">
        <v>214092472</v>
      </c>
      <c r="AL34" s="80">
        <v>212159728</v>
      </c>
      <c r="AM34" s="80">
        <v>211814830</v>
      </c>
      <c r="AN34" s="80">
        <v>211874649</v>
      </c>
      <c r="AO34" s="80">
        <v>210114939</v>
      </c>
    </row>
    <row r="35" spans="31:41" ht="15.6" x14ac:dyDescent="0.3">
      <c r="AE35" s="86" t="s">
        <v>275</v>
      </c>
      <c r="AF35" s="78"/>
      <c r="AG35" s="78"/>
      <c r="AH35" s="78"/>
      <c r="AI35" s="78"/>
      <c r="AJ35" s="78"/>
      <c r="AK35" s="78"/>
      <c r="AL35" s="78"/>
      <c r="AM35" s="78"/>
      <c r="AN35" s="78"/>
      <c r="AO35" s="78"/>
    </row>
    <row r="36" spans="31:41" x14ac:dyDescent="0.3">
      <c r="AE36" s="87" t="s">
        <v>276</v>
      </c>
      <c r="AF36" s="83">
        <v>1.1100000000000001</v>
      </c>
      <c r="AG36" s="83">
        <v>1.1399999999999999</v>
      </c>
      <c r="AH36" s="83">
        <v>1.17</v>
      </c>
      <c r="AI36" s="83">
        <v>1.19</v>
      </c>
      <c r="AJ36" s="83">
        <v>1.1499999999999999</v>
      </c>
      <c r="AK36" s="83">
        <v>1.08</v>
      </c>
      <c r="AL36" s="83">
        <v>1.1000000000000001</v>
      </c>
      <c r="AM36" s="83">
        <v>1.1399999999999999</v>
      </c>
      <c r="AN36" s="83">
        <v>1.1000000000000001</v>
      </c>
      <c r="AO36" s="83">
        <v>1.1100000000000001</v>
      </c>
    </row>
    <row r="37" spans="31:41" x14ac:dyDescent="0.3">
      <c r="AE37" s="87" t="s">
        <v>277</v>
      </c>
      <c r="AF37" s="83">
        <v>11</v>
      </c>
      <c r="AG37" s="83">
        <v>11.28</v>
      </c>
      <c r="AH37" s="83">
        <v>11.53</v>
      </c>
      <c r="AI37" s="83">
        <v>11.71</v>
      </c>
      <c r="AJ37" s="83">
        <v>11.07</v>
      </c>
      <c r="AK37" s="83">
        <v>10.29</v>
      </c>
      <c r="AL37" s="83">
        <v>10.41</v>
      </c>
      <c r="AM37" s="83">
        <v>10.76</v>
      </c>
      <c r="AN37" s="83">
        <v>10.42</v>
      </c>
      <c r="AO37" s="83">
        <v>10.67</v>
      </c>
    </row>
    <row r="38" spans="31:41" x14ac:dyDescent="0.3">
      <c r="AE38" s="87" t="s">
        <v>278</v>
      </c>
      <c r="AF38" s="83">
        <v>12.06</v>
      </c>
      <c r="AG38" s="83">
        <v>12.4</v>
      </c>
      <c r="AH38" s="83">
        <v>12.91</v>
      </c>
      <c r="AI38" s="83">
        <v>13.13</v>
      </c>
      <c r="AJ38" s="83">
        <v>12.61</v>
      </c>
      <c r="AK38" s="83">
        <v>11.92</v>
      </c>
      <c r="AL38" s="83">
        <v>12.21</v>
      </c>
      <c r="AM38" s="83">
        <v>12.72</v>
      </c>
      <c r="AN38" s="83">
        <v>12.25</v>
      </c>
      <c r="AO38" s="83">
        <v>12.82</v>
      </c>
    </row>
    <row r="39" spans="31:41" x14ac:dyDescent="0.3">
      <c r="AE39" s="87" t="s">
        <v>279</v>
      </c>
      <c r="AF39" s="83">
        <v>15.78</v>
      </c>
      <c r="AG39" s="83">
        <v>16.190000000000001</v>
      </c>
      <c r="AH39" s="83">
        <v>16.63</v>
      </c>
      <c r="AI39" s="83">
        <v>17.05</v>
      </c>
      <c r="AJ39" s="83">
        <v>16.27</v>
      </c>
      <c r="AK39" s="83">
        <v>15.29</v>
      </c>
      <c r="AL39" s="83">
        <v>15.5</v>
      </c>
      <c r="AM39" s="83">
        <v>15.95</v>
      </c>
      <c r="AN39" s="83">
        <v>15.33</v>
      </c>
      <c r="AO39" s="83">
        <v>15.71</v>
      </c>
    </row>
    <row r="40" spans="31:41" ht="15.6" x14ac:dyDescent="0.3">
      <c r="AE40" s="86" t="s">
        <v>280</v>
      </c>
      <c r="AF40" s="78"/>
      <c r="AG40" s="78"/>
      <c r="AH40" s="78"/>
      <c r="AI40" s="78"/>
      <c r="AJ40" s="78"/>
      <c r="AK40" s="78"/>
      <c r="AL40" s="78"/>
      <c r="AM40" s="78"/>
      <c r="AN40" s="78"/>
      <c r="AO40" s="78"/>
    </row>
    <row r="41" spans="31:41" x14ac:dyDescent="0.3">
      <c r="AE41" s="87" t="s">
        <v>281</v>
      </c>
      <c r="AF41" s="81">
        <v>84</v>
      </c>
      <c r="AG41" s="81">
        <v>84</v>
      </c>
      <c r="AH41" s="81">
        <v>86</v>
      </c>
      <c r="AI41" s="81">
        <v>96</v>
      </c>
      <c r="AJ41" s="81">
        <v>79</v>
      </c>
      <c r="AK41" s="81">
        <v>78</v>
      </c>
      <c r="AL41" s="81">
        <v>78</v>
      </c>
      <c r="AM41" s="81">
        <v>80</v>
      </c>
      <c r="AN41" s="81">
        <v>76</v>
      </c>
      <c r="AO41" s="81">
        <v>76</v>
      </c>
    </row>
    <row r="42" spans="31:41" x14ac:dyDescent="0.3">
      <c r="AE42" s="87" t="s">
        <v>282</v>
      </c>
      <c r="AF42" s="81">
        <v>835</v>
      </c>
      <c r="AG42" s="81">
        <v>830</v>
      </c>
      <c r="AH42" s="81">
        <v>845</v>
      </c>
      <c r="AI42" s="81">
        <v>948</v>
      </c>
      <c r="AJ42" s="81">
        <v>766</v>
      </c>
      <c r="AK42" s="81">
        <v>736</v>
      </c>
      <c r="AL42" s="81">
        <v>734</v>
      </c>
      <c r="AM42" s="81">
        <v>755</v>
      </c>
      <c r="AN42" s="81">
        <v>715</v>
      </c>
      <c r="AO42" s="81">
        <v>727</v>
      </c>
    </row>
    <row r="43" spans="31:41" x14ac:dyDescent="0.3">
      <c r="AE43" s="87" t="s">
        <v>283</v>
      </c>
      <c r="AF43" s="81">
        <v>916</v>
      </c>
      <c r="AG43" s="81">
        <v>912</v>
      </c>
      <c r="AH43" s="81">
        <v>946</v>
      </c>
      <c r="AI43" s="80">
        <v>1063</v>
      </c>
      <c r="AJ43" s="81">
        <v>873</v>
      </c>
      <c r="AK43" s="81">
        <v>852</v>
      </c>
      <c r="AL43" s="81">
        <v>861</v>
      </c>
      <c r="AM43" s="81">
        <v>892</v>
      </c>
      <c r="AN43" s="81">
        <v>840</v>
      </c>
      <c r="AO43" s="81">
        <v>874</v>
      </c>
    </row>
    <row r="44" spans="31:41" x14ac:dyDescent="0.3">
      <c r="AE44" s="87" t="s">
        <v>284</v>
      </c>
      <c r="AF44" s="80">
        <v>1198</v>
      </c>
      <c r="AG44" s="80">
        <v>1191</v>
      </c>
      <c r="AH44" s="80">
        <v>1218</v>
      </c>
      <c r="AI44" s="80">
        <v>1381</v>
      </c>
      <c r="AJ44" s="80">
        <v>1126</v>
      </c>
      <c r="AK44" s="80">
        <v>1094</v>
      </c>
      <c r="AL44" s="80">
        <v>1093</v>
      </c>
      <c r="AM44" s="80">
        <v>1118</v>
      </c>
      <c r="AN44" s="80">
        <v>1051</v>
      </c>
      <c r="AO44" s="80">
        <v>1070</v>
      </c>
    </row>
    <row r="45" spans="31:41" x14ac:dyDescent="0.3">
      <c r="AE45" s="85"/>
      <c r="AF45" s="78"/>
      <c r="AG45" s="78"/>
      <c r="AH45" s="78"/>
      <c r="AI45" s="78"/>
      <c r="AJ45" s="78"/>
      <c r="AK45" s="78"/>
      <c r="AL45" s="78"/>
      <c r="AM45" s="78"/>
      <c r="AN45" s="78"/>
      <c r="AO45" s="78"/>
    </row>
    <row r="46" spans="31:41" x14ac:dyDescent="0.3">
      <c r="AE46" s="87" t="s">
        <v>285</v>
      </c>
      <c r="AF46" s="78"/>
      <c r="AG46" s="78"/>
      <c r="AH46" s="78"/>
      <c r="AI46" s="78"/>
      <c r="AJ46" s="78"/>
      <c r="AK46" s="78"/>
      <c r="AL46" s="78"/>
      <c r="AM46" s="78"/>
      <c r="AN46" s="78"/>
      <c r="AO46" s="78"/>
    </row>
    <row r="47" spans="31:41" x14ac:dyDescent="0.3">
      <c r="AE47" s="120" t="s">
        <v>286</v>
      </c>
      <c r="AF47" s="121"/>
      <c r="AG47" s="121"/>
      <c r="AH47" s="122"/>
      <c r="AI47" s="78"/>
      <c r="AJ47" s="78"/>
      <c r="AK47" s="78"/>
      <c r="AL47" s="78"/>
      <c r="AM47" s="78"/>
      <c r="AN47" s="78"/>
      <c r="AO47" s="78"/>
    </row>
    <row r="48" spans="31:41" x14ac:dyDescent="0.3">
      <c r="AE48" s="87" t="s">
        <v>287</v>
      </c>
      <c r="AF48" s="78"/>
      <c r="AG48" s="78"/>
      <c r="AH48" s="78"/>
      <c r="AI48" s="78"/>
      <c r="AJ48" s="78"/>
      <c r="AK48" s="78"/>
      <c r="AL48" s="78"/>
      <c r="AM48" s="78"/>
      <c r="AN48" s="78"/>
      <c r="AO48" s="78"/>
    </row>
    <row r="49" spans="31:41" x14ac:dyDescent="0.3">
      <c r="AE49" s="120" t="s">
        <v>288</v>
      </c>
      <c r="AF49" s="121"/>
      <c r="AG49" s="122"/>
      <c r="AH49" s="78"/>
      <c r="AI49" s="78"/>
      <c r="AJ49" s="78"/>
      <c r="AK49" s="78"/>
      <c r="AL49" s="78"/>
      <c r="AM49" s="78"/>
      <c r="AN49" s="78"/>
      <c r="AO49" s="78"/>
    </row>
    <row r="50" spans="31:41" x14ac:dyDescent="0.3">
      <c r="AE50" s="120" t="s">
        <v>289</v>
      </c>
      <c r="AF50" s="121"/>
      <c r="AG50" s="121"/>
      <c r="AH50" s="121"/>
      <c r="AI50" s="122"/>
      <c r="AJ50" s="78"/>
      <c r="AK50" s="78"/>
      <c r="AL50" s="78"/>
      <c r="AM50" s="78"/>
      <c r="AN50" s="78"/>
      <c r="AO50" s="78"/>
    </row>
    <row r="51" spans="31:41" x14ac:dyDescent="0.3">
      <c r="AE51" s="85"/>
      <c r="AF51" s="78"/>
      <c r="AG51" s="78"/>
      <c r="AH51" s="78"/>
      <c r="AI51" s="78"/>
      <c r="AJ51" s="78"/>
      <c r="AK51" s="78"/>
      <c r="AL51" s="78"/>
      <c r="AM51" s="78"/>
      <c r="AN51" s="78"/>
      <c r="AO51" s="78"/>
    </row>
    <row r="52" spans="31:41" x14ac:dyDescent="0.3">
      <c r="AE52" s="85"/>
      <c r="AF52" s="78"/>
      <c r="AG52" s="78"/>
      <c r="AH52" s="78"/>
      <c r="AI52" s="78"/>
      <c r="AJ52" s="78"/>
      <c r="AK52" s="78"/>
      <c r="AL52" s="78"/>
      <c r="AM52" s="123" t="s">
        <v>290</v>
      </c>
      <c r="AN52" s="124"/>
      <c r="AO52" s="125"/>
    </row>
  </sheetData>
  <mergeCells count="4">
    <mergeCell ref="AE47:AH47"/>
    <mergeCell ref="AE49:AG49"/>
    <mergeCell ref="AE50:AI50"/>
    <mergeCell ref="AM52:AO52"/>
  </mergeCells>
  <hyperlinks>
    <hyperlink ref="A1" r:id="rId1" display="https://crashstats.nhtsa.dot.gov/Api/Public/ViewPublication/813199" xr:uid="{0505A171-E690-429D-A78E-765DD5D97A93}"/>
    <hyperlink ref="Q1" r:id="rId2" display="https://crashstats.nhtsa.dot.gov/Api/Public/ViewPublication/813209" xr:uid="{D558E6E0-EA33-4EFF-A28C-2A00DA0B027B}"/>
    <hyperlink ref="AI1" r:id="rId3" display="https://cdan.nhtsa.gov/tsftables/National Statistics.pdf" xr:uid="{5370E297-4EFE-46D2-95A0-B7076CB53D2E}"/>
  </hyperlinks>
  <pageMargins left="0.7" right="0.7" top="0.75" bottom="0.75" header="0.3" footer="0.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3FFF5-F53E-4A37-BCFA-3B0B164FBB98}">
  <sheetPr>
    <tabColor rgb="FF7030A0"/>
  </sheetPr>
  <dimension ref="A1:AH22"/>
  <sheetViews>
    <sheetView workbookViewId="0">
      <selection activeCell="A20" sqref="A20"/>
    </sheetView>
  </sheetViews>
  <sheetFormatPr defaultRowHeight="14.4" x14ac:dyDescent="0.3"/>
  <cols>
    <col min="1" max="1" width="13.44140625" customWidth="1"/>
    <col min="2" max="2" width="14.109375" customWidth="1"/>
    <col min="3" max="7" width="13.88671875" customWidth="1"/>
    <col min="9" max="9" width="18.44140625" customWidth="1"/>
    <col min="14" max="14" width="13.88671875" bestFit="1" customWidth="1"/>
  </cols>
  <sheetData>
    <row r="1" spans="1:14" x14ac:dyDescent="0.3">
      <c r="D1" t="s">
        <v>117</v>
      </c>
    </row>
    <row r="2" spans="1:14" x14ac:dyDescent="0.3">
      <c r="B2" s="33" t="s">
        <v>291</v>
      </c>
      <c r="C2" s="34">
        <v>60000</v>
      </c>
      <c r="D2" t="s">
        <v>292</v>
      </c>
    </row>
    <row r="3" spans="1:14" x14ac:dyDescent="0.3">
      <c r="B3" s="33" t="s">
        <v>293</v>
      </c>
      <c r="C3" s="35">
        <v>98.398016212232861</v>
      </c>
      <c r="D3" t="s">
        <v>294</v>
      </c>
    </row>
    <row r="4" spans="1:14" x14ac:dyDescent="0.3">
      <c r="B4" s="33" t="s">
        <v>295</v>
      </c>
      <c r="C4" s="36">
        <v>296.22008474576268</v>
      </c>
      <c r="D4" t="s">
        <v>296</v>
      </c>
    </row>
    <row r="5" spans="1:14" ht="15" thickBot="1" x14ac:dyDescent="0.35">
      <c r="B5" s="33" t="s">
        <v>297</v>
      </c>
      <c r="C5" s="28">
        <v>0.8</v>
      </c>
      <c r="I5" t="s">
        <v>298</v>
      </c>
    </row>
    <row r="6" spans="1:14" s="7" customFormat="1" ht="43.2" x14ac:dyDescent="0.3">
      <c r="B6" s="37" t="s">
        <v>299</v>
      </c>
      <c r="C6" s="37" t="s">
        <v>300</v>
      </c>
      <c r="D6" s="37" t="s">
        <v>301</v>
      </c>
      <c r="E6" s="37" t="s">
        <v>302</v>
      </c>
      <c r="F6" s="37" t="s">
        <v>303</v>
      </c>
      <c r="G6" s="37" t="s">
        <v>304</v>
      </c>
      <c r="H6" s="37"/>
      <c r="I6" s="44" t="s">
        <v>305</v>
      </c>
      <c r="J6" s="45" t="s">
        <v>306</v>
      </c>
      <c r="K6" s="46"/>
      <c r="L6" s="47"/>
    </row>
    <row r="7" spans="1:14" x14ac:dyDescent="0.3">
      <c r="B7" s="4">
        <v>1</v>
      </c>
      <c r="C7" s="38">
        <v>0.15</v>
      </c>
      <c r="D7" s="39">
        <f>+C7*$C$2</f>
        <v>9000</v>
      </c>
      <c r="E7" s="39">
        <f>+D7</f>
        <v>9000</v>
      </c>
      <c r="F7" s="39">
        <f>+E7*$C$3</f>
        <v>885582.14591009577</v>
      </c>
      <c r="G7" s="40">
        <f>+E7*$C$4</f>
        <v>2665980.762711864</v>
      </c>
      <c r="I7" s="48">
        <v>0</v>
      </c>
      <c r="J7" s="49">
        <f>1+I7</f>
        <v>1</v>
      </c>
      <c r="L7" s="50"/>
      <c r="N7" s="62"/>
    </row>
    <row r="8" spans="1:14" x14ac:dyDescent="0.3">
      <c r="B8" s="4">
        <f>1+B7</f>
        <v>2</v>
      </c>
      <c r="C8" s="38">
        <v>0.25</v>
      </c>
      <c r="D8" s="39">
        <f t="shared" ref="D8:D11" si="0">+C8*$C$2</f>
        <v>15000</v>
      </c>
      <c r="E8" s="39">
        <f>+D8+E7</f>
        <v>24000</v>
      </c>
      <c r="F8" s="39">
        <f t="shared" ref="F8:F11" si="1">+E8*$C$3</f>
        <v>2361552.3890935886</v>
      </c>
      <c r="G8" s="40">
        <f t="shared" ref="G8:G11" si="2">+E8*$C$4</f>
        <v>7109282.0338983042</v>
      </c>
      <c r="I8" s="48">
        <f>(F8-F7)/F7</f>
        <v>1.6666666666666663</v>
      </c>
      <c r="J8" s="49">
        <f t="shared" ref="J8:J12" si="3">1+I8</f>
        <v>2.6666666666666661</v>
      </c>
      <c r="L8" s="50"/>
      <c r="N8" s="62"/>
    </row>
    <row r="9" spans="1:14" x14ac:dyDescent="0.3">
      <c r="B9" s="4">
        <f t="shared" ref="B9:B11" si="4">1+B8</f>
        <v>3</v>
      </c>
      <c r="C9" s="38">
        <v>0.2</v>
      </c>
      <c r="D9" s="39">
        <f t="shared" si="0"/>
        <v>12000</v>
      </c>
      <c r="E9" s="39">
        <f t="shared" ref="E9:E11" si="5">+D9+E8</f>
        <v>36000</v>
      </c>
      <c r="F9" s="39">
        <f t="shared" si="1"/>
        <v>3542328.5836403831</v>
      </c>
      <c r="G9" s="40">
        <f t="shared" si="2"/>
        <v>10663923.050847456</v>
      </c>
      <c r="I9" s="48">
        <f t="shared" ref="I9:I11" si="6">(F9-F8)/F8</f>
        <v>0.50000000000000011</v>
      </c>
      <c r="J9" s="49">
        <f t="shared" si="3"/>
        <v>1.5</v>
      </c>
      <c r="L9" s="50"/>
      <c r="N9" s="62"/>
    </row>
    <row r="10" spans="1:14" x14ac:dyDescent="0.3">
      <c r="B10" s="4">
        <f t="shared" si="4"/>
        <v>4</v>
      </c>
      <c r="C10" s="38">
        <v>0.1</v>
      </c>
      <c r="D10" s="39">
        <f t="shared" si="0"/>
        <v>6000</v>
      </c>
      <c r="E10" s="39">
        <f t="shared" si="5"/>
        <v>42000</v>
      </c>
      <c r="F10" s="39">
        <f t="shared" si="1"/>
        <v>4132716.6809137804</v>
      </c>
      <c r="G10" s="40">
        <f t="shared" si="2"/>
        <v>12441243.559322033</v>
      </c>
      <c r="I10" s="48">
        <f t="shared" si="6"/>
        <v>0.16666666666666669</v>
      </c>
      <c r="J10" s="49">
        <f t="shared" si="3"/>
        <v>1.1666666666666667</v>
      </c>
      <c r="L10" s="50"/>
      <c r="N10" s="62"/>
    </row>
    <row r="11" spans="1:14" x14ac:dyDescent="0.3">
      <c r="B11" s="4">
        <f t="shared" si="4"/>
        <v>5</v>
      </c>
      <c r="C11" s="38">
        <v>0.1</v>
      </c>
      <c r="D11" s="39">
        <f t="shared" si="0"/>
        <v>6000</v>
      </c>
      <c r="E11" s="39">
        <f t="shared" si="5"/>
        <v>48000</v>
      </c>
      <c r="F11" s="39">
        <f t="shared" si="1"/>
        <v>4723104.7781871771</v>
      </c>
      <c r="G11" s="40">
        <f t="shared" si="2"/>
        <v>14218564.067796608</v>
      </c>
      <c r="I11" s="48">
        <f t="shared" si="6"/>
        <v>0.14285714285714277</v>
      </c>
      <c r="J11" s="49">
        <f t="shared" si="3"/>
        <v>1.1428571428571428</v>
      </c>
      <c r="L11" s="50"/>
      <c r="N11" s="62"/>
    </row>
    <row r="12" spans="1:14" ht="15" thickBot="1" x14ac:dyDescent="0.35">
      <c r="C12" s="41">
        <f>SUM(C7:C11)</f>
        <v>0.8</v>
      </c>
      <c r="D12" s="42">
        <f>SUM(D7:D11)</f>
        <v>48000</v>
      </c>
      <c r="I12" s="51">
        <v>0</v>
      </c>
      <c r="J12" s="52">
        <f t="shared" si="3"/>
        <v>1</v>
      </c>
      <c r="K12" s="53" t="s">
        <v>307</v>
      </c>
      <c r="L12" s="54"/>
    </row>
    <row r="16" spans="1:14" x14ac:dyDescent="0.3">
      <c r="A16" s="69"/>
      <c r="B16" s="70" t="s">
        <v>308</v>
      </c>
      <c r="C16" s="71">
        <v>296.22008474576268</v>
      </c>
    </row>
    <row r="18" spans="1:34" x14ac:dyDescent="0.3">
      <c r="F18" t="s">
        <v>99</v>
      </c>
    </row>
    <row r="19" spans="1:34" x14ac:dyDescent="0.3">
      <c r="C19">
        <v>2025</v>
      </c>
      <c r="D19">
        <v>2026</v>
      </c>
      <c r="E19">
        <v>2027</v>
      </c>
      <c r="F19">
        <v>2028</v>
      </c>
      <c r="G19">
        <v>2029</v>
      </c>
      <c r="H19">
        <v>2030</v>
      </c>
      <c r="I19">
        <v>2031</v>
      </c>
      <c r="J19">
        <v>2032</v>
      </c>
      <c r="K19">
        <v>2033</v>
      </c>
      <c r="L19">
        <v>2034</v>
      </c>
      <c r="M19">
        <v>2035</v>
      </c>
      <c r="N19">
        <v>2036</v>
      </c>
      <c r="O19">
        <v>2037</v>
      </c>
      <c r="P19">
        <v>2038</v>
      </c>
      <c r="Q19">
        <v>2039</v>
      </c>
      <c r="R19">
        <v>2040</v>
      </c>
      <c r="S19">
        <v>2041</v>
      </c>
      <c r="T19">
        <v>2042</v>
      </c>
      <c r="U19">
        <v>2043</v>
      </c>
      <c r="V19">
        <v>2044</v>
      </c>
      <c r="W19">
        <v>2045</v>
      </c>
      <c r="X19">
        <v>2046</v>
      </c>
      <c r="Y19">
        <v>2047</v>
      </c>
      <c r="Z19">
        <v>2048</v>
      </c>
      <c r="AA19">
        <v>2049</v>
      </c>
      <c r="AB19">
        <v>2050</v>
      </c>
      <c r="AC19">
        <v>2051</v>
      </c>
      <c r="AD19">
        <v>2052</v>
      </c>
      <c r="AE19">
        <v>2053</v>
      </c>
      <c r="AF19">
        <v>2054</v>
      </c>
      <c r="AG19">
        <v>2055</v>
      </c>
    </row>
    <row r="20" spans="1:34" x14ac:dyDescent="0.3">
      <c r="A20" s="39">
        <f>SUM(C20:AG20)</f>
        <v>1402500</v>
      </c>
      <c r="B20" s="39">
        <f>AVERAGE(C20:AG20)</f>
        <v>45241.93548387097</v>
      </c>
      <c r="C20" s="39">
        <f>E7/2</f>
        <v>4500</v>
      </c>
      <c r="D20" s="39">
        <f>E8</f>
        <v>24000</v>
      </c>
      <c r="E20" s="39">
        <f>E9</f>
        <v>36000</v>
      </c>
      <c r="F20" s="39">
        <f>E10</f>
        <v>42000</v>
      </c>
      <c r="G20" s="39">
        <f>E11</f>
        <v>48000</v>
      </c>
      <c r="H20" s="39">
        <f>G20</f>
        <v>48000</v>
      </c>
      <c r="I20" s="39">
        <f t="shared" ref="I20:AG20" si="7">H20</f>
        <v>48000</v>
      </c>
      <c r="J20" s="39">
        <f t="shared" si="7"/>
        <v>48000</v>
      </c>
      <c r="K20" s="39">
        <f t="shared" si="7"/>
        <v>48000</v>
      </c>
      <c r="L20" s="39">
        <f t="shared" si="7"/>
        <v>48000</v>
      </c>
      <c r="M20" s="39">
        <f t="shared" si="7"/>
        <v>48000</v>
      </c>
      <c r="N20" s="39">
        <f t="shared" si="7"/>
        <v>48000</v>
      </c>
      <c r="O20" s="39">
        <f t="shared" si="7"/>
        <v>48000</v>
      </c>
      <c r="P20" s="39">
        <f t="shared" si="7"/>
        <v>48000</v>
      </c>
      <c r="Q20" s="39">
        <f t="shared" si="7"/>
        <v>48000</v>
      </c>
      <c r="R20" s="39">
        <f t="shared" si="7"/>
        <v>48000</v>
      </c>
      <c r="S20" s="39">
        <f t="shared" si="7"/>
        <v>48000</v>
      </c>
      <c r="T20" s="39">
        <f t="shared" si="7"/>
        <v>48000</v>
      </c>
      <c r="U20" s="39">
        <f t="shared" si="7"/>
        <v>48000</v>
      </c>
      <c r="V20" s="39">
        <f t="shared" si="7"/>
        <v>48000</v>
      </c>
      <c r="W20" s="39">
        <f t="shared" si="7"/>
        <v>48000</v>
      </c>
      <c r="X20" s="39">
        <f t="shared" si="7"/>
        <v>48000</v>
      </c>
      <c r="Y20" s="39">
        <f t="shared" si="7"/>
        <v>48000</v>
      </c>
      <c r="Z20" s="39">
        <f t="shared" si="7"/>
        <v>48000</v>
      </c>
      <c r="AA20" s="39">
        <f t="shared" si="7"/>
        <v>48000</v>
      </c>
      <c r="AB20" s="39">
        <f t="shared" si="7"/>
        <v>48000</v>
      </c>
      <c r="AC20" s="39">
        <f t="shared" si="7"/>
        <v>48000</v>
      </c>
      <c r="AD20" s="39">
        <f t="shared" si="7"/>
        <v>48000</v>
      </c>
      <c r="AE20" s="39">
        <f t="shared" si="7"/>
        <v>48000</v>
      </c>
      <c r="AF20" s="39">
        <f t="shared" si="7"/>
        <v>48000</v>
      </c>
      <c r="AG20" s="39">
        <f t="shared" si="7"/>
        <v>48000</v>
      </c>
      <c r="AH20" s="39"/>
    </row>
    <row r="21" spans="1:34" x14ac:dyDescent="0.3">
      <c r="A21" s="39">
        <f>SUM(C21:AG21)</f>
        <v>138003217.7376565</v>
      </c>
      <c r="B21" s="39">
        <f>AVERAGE(C21:AG21)</f>
        <v>4451716.7012147261</v>
      </c>
      <c r="C21">
        <f>C20*$C$3</f>
        <v>442791.07295504789</v>
      </c>
      <c r="D21">
        <f t="shared" ref="D21:AG21" si="8">D20*$C$3</f>
        <v>2361552.3890935886</v>
      </c>
      <c r="E21">
        <f t="shared" si="8"/>
        <v>3542328.5836403831</v>
      </c>
      <c r="F21">
        <f t="shared" si="8"/>
        <v>4132716.6809137804</v>
      </c>
      <c r="G21">
        <f t="shared" si="8"/>
        <v>4723104.7781871771</v>
      </c>
      <c r="H21">
        <f t="shared" si="8"/>
        <v>4723104.7781871771</v>
      </c>
      <c r="I21">
        <f t="shared" si="8"/>
        <v>4723104.7781871771</v>
      </c>
      <c r="J21">
        <f t="shared" si="8"/>
        <v>4723104.7781871771</v>
      </c>
      <c r="K21">
        <f t="shared" si="8"/>
        <v>4723104.7781871771</v>
      </c>
      <c r="L21">
        <f t="shared" si="8"/>
        <v>4723104.7781871771</v>
      </c>
      <c r="M21">
        <f t="shared" si="8"/>
        <v>4723104.7781871771</v>
      </c>
      <c r="N21">
        <f t="shared" si="8"/>
        <v>4723104.7781871771</v>
      </c>
      <c r="O21">
        <f t="shared" si="8"/>
        <v>4723104.7781871771</v>
      </c>
      <c r="P21">
        <f t="shared" si="8"/>
        <v>4723104.7781871771</v>
      </c>
      <c r="Q21">
        <f t="shared" si="8"/>
        <v>4723104.7781871771</v>
      </c>
      <c r="R21">
        <f t="shared" si="8"/>
        <v>4723104.7781871771</v>
      </c>
      <c r="S21">
        <f t="shared" si="8"/>
        <v>4723104.7781871771</v>
      </c>
      <c r="T21">
        <f t="shared" si="8"/>
        <v>4723104.7781871771</v>
      </c>
      <c r="U21">
        <f t="shared" si="8"/>
        <v>4723104.7781871771</v>
      </c>
      <c r="V21">
        <f t="shared" si="8"/>
        <v>4723104.7781871771</v>
      </c>
      <c r="W21">
        <f t="shared" si="8"/>
        <v>4723104.7781871771</v>
      </c>
      <c r="X21">
        <f t="shared" si="8"/>
        <v>4723104.7781871771</v>
      </c>
      <c r="Y21">
        <f t="shared" si="8"/>
        <v>4723104.7781871771</v>
      </c>
      <c r="Z21">
        <f t="shared" si="8"/>
        <v>4723104.7781871771</v>
      </c>
      <c r="AA21">
        <f t="shared" si="8"/>
        <v>4723104.7781871771</v>
      </c>
      <c r="AB21">
        <f t="shared" si="8"/>
        <v>4723104.7781871771</v>
      </c>
      <c r="AC21">
        <f t="shared" si="8"/>
        <v>4723104.7781871771</v>
      </c>
      <c r="AD21">
        <f t="shared" si="8"/>
        <v>4723104.7781871771</v>
      </c>
      <c r="AE21">
        <f t="shared" si="8"/>
        <v>4723104.7781871771</v>
      </c>
      <c r="AF21">
        <f t="shared" si="8"/>
        <v>4723104.7781871771</v>
      </c>
      <c r="AG21">
        <f t="shared" si="8"/>
        <v>4723104.7781871771</v>
      </c>
    </row>
    <row r="22" spans="1:34" x14ac:dyDescent="0.3">
      <c r="A22" s="39">
        <f>SUM(C22:AG22)</f>
        <v>1402500</v>
      </c>
      <c r="B22" s="39">
        <f>AVERAGE(C22:AG22)</f>
        <v>45241.93548387097</v>
      </c>
      <c r="C22" s="39">
        <f>E7/2</f>
        <v>4500</v>
      </c>
      <c r="D22" s="39">
        <f>E8</f>
        <v>24000</v>
      </c>
      <c r="E22" s="39">
        <f>E9</f>
        <v>36000</v>
      </c>
      <c r="F22" s="39">
        <f>E10</f>
        <v>42000</v>
      </c>
      <c r="G22" s="39">
        <f>E11</f>
        <v>48000</v>
      </c>
      <c r="H22" s="39">
        <f>G22</f>
        <v>48000</v>
      </c>
      <c r="I22" s="39">
        <f t="shared" ref="I22:AG22" si="9">H22</f>
        <v>48000</v>
      </c>
      <c r="J22" s="39">
        <f t="shared" si="9"/>
        <v>48000</v>
      </c>
      <c r="K22" s="39">
        <f t="shared" si="9"/>
        <v>48000</v>
      </c>
      <c r="L22" s="39">
        <f t="shared" si="9"/>
        <v>48000</v>
      </c>
      <c r="M22" s="39">
        <f t="shared" si="9"/>
        <v>48000</v>
      </c>
      <c r="N22" s="39">
        <f t="shared" si="9"/>
        <v>48000</v>
      </c>
      <c r="O22" s="39">
        <f t="shared" si="9"/>
        <v>48000</v>
      </c>
      <c r="P22" s="39">
        <f t="shared" si="9"/>
        <v>48000</v>
      </c>
      <c r="Q22" s="39">
        <f t="shared" si="9"/>
        <v>48000</v>
      </c>
      <c r="R22" s="39">
        <f t="shared" si="9"/>
        <v>48000</v>
      </c>
      <c r="S22" s="39">
        <f t="shared" si="9"/>
        <v>48000</v>
      </c>
      <c r="T22" s="39">
        <f t="shared" si="9"/>
        <v>48000</v>
      </c>
      <c r="U22" s="39">
        <f t="shared" si="9"/>
        <v>48000</v>
      </c>
      <c r="V22" s="39">
        <f t="shared" si="9"/>
        <v>48000</v>
      </c>
      <c r="W22" s="39">
        <f t="shared" si="9"/>
        <v>48000</v>
      </c>
      <c r="X22" s="39">
        <f t="shared" si="9"/>
        <v>48000</v>
      </c>
      <c r="Y22" s="39">
        <f t="shared" si="9"/>
        <v>48000</v>
      </c>
      <c r="Z22" s="39">
        <f t="shared" si="9"/>
        <v>48000</v>
      </c>
      <c r="AA22" s="39">
        <f t="shared" si="9"/>
        <v>48000</v>
      </c>
      <c r="AB22" s="39">
        <f t="shared" si="9"/>
        <v>48000</v>
      </c>
      <c r="AC22" s="39">
        <f t="shared" si="9"/>
        <v>48000</v>
      </c>
      <c r="AD22" s="39">
        <f t="shared" si="9"/>
        <v>48000</v>
      </c>
      <c r="AE22" s="39">
        <f t="shared" si="9"/>
        <v>48000</v>
      </c>
      <c r="AF22" s="39">
        <f t="shared" si="9"/>
        <v>48000</v>
      </c>
      <c r="AG22" s="39">
        <f t="shared" si="9"/>
        <v>48000</v>
      </c>
      <c r="AH22" s="39"/>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048BB-D1CE-4325-8204-A04F5C7EDEC1}">
  <sheetPr>
    <tabColor theme="0" tint="-0.499984740745262"/>
  </sheetPr>
  <dimension ref="A1"/>
  <sheetViews>
    <sheetView workbookViewId="0">
      <selection activeCell="C40" sqref="C40"/>
    </sheetView>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5321-6A5B-4356-9B4A-F4827C844D65}">
  <sheetPr>
    <tabColor theme="0" tint="-0.499984740745262"/>
  </sheetPr>
  <dimension ref="A1:F20"/>
  <sheetViews>
    <sheetView workbookViewId="0">
      <selection activeCell="E38" sqref="E38"/>
    </sheetView>
  </sheetViews>
  <sheetFormatPr defaultRowHeight="14.4" x14ac:dyDescent="0.3"/>
  <cols>
    <col min="1" max="1" width="50.5546875" customWidth="1"/>
    <col min="2" max="2" width="25.88671875" customWidth="1"/>
    <col min="3" max="3" width="21.5546875" bestFit="1" customWidth="1"/>
    <col min="4" max="4" width="26.44140625" bestFit="1" customWidth="1"/>
    <col min="6" max="6" width="11.5546875" bestFit="1" customWidth="1"/>
  </cols>
  <sheetData>
    <row r="1" spans="1:6" x14ac:dyDescent="0.3">
      <c r="A1" t="s">
        <v>309</v>
      </c>
    </row>
    <row r="2" spans="1:6" x14ac:dyDescent="0.3">
      <c r="A2" t="s">
        <v>310</v>
      </c>
      <c r="C2" t="s">
        <v>311</v>
      </c>
      <c r="D2" s="23">
        <f>60/52.1428571</f>
        <v>1.1506849324526178</v>
      </c>
    </row>
    <row r="3" spans="1:6" x14ac:dyDescent="0.3">
      <c r="A3" t="s">
        <v>312</v>
      </c>
    </row>
    <row r="6" spans="1:6" x14ac:dyDescent="0.3">
      <c r="A6" s="2" t="s">
        <v>313</v>
      </c>
      <c r="B6" s="2" t="s">
        <v>314</v>
      </c>
      <c r="C6" s="2" t="s">
        <v>315</v>
      </c>
      <c r="D6" s="29" t="s">
        <v>316</v>
      </c>
      <c r="E6" s="30"/>
    </row>
    <row r="7" spans="1:6" x14ac:dyDescent="0.3">
      <c r="A7" s="2">
        <v>1</v>
      </c>
      <c r="B7" s="2" t="s">
        <v>317</v>
      </c>
      <c r="C7" s="19">
        <v>460000</v>
      </c>
      <c r="D7" s="31">
        <f>(C7*$E$14)+C7</f>
        <v>788589.05579399143</v>
      </c>
      <c r="E7" s="30"/>
    </row>
    <row r="8" spans="1:6" x14ac:dyDescent="0.3">
      <c r="A8" s="2">
        <v>2</v>
      </c>
      <c r="B8" s="2" t="s">
        <v>318</v>
      </c>
      <c r="C8" s="19">
        <v>1630000</v>
      </c>
      <c r="D8" s="31">
        <f t="shared" ref="D8:D13" si="0">(C8*$E$14)+C8</f>
        <v>2794348.1759656654</v>
      </c>
      <c r="E8" s="30"/>
    </row>
    <row r="9" spans="1:6" x14ac:dyDescent="0.3">
      <c r="A9" s="2">
        <v>3</v>
      </c>
      <c r="B9" s="2" t="s">
        <v>319</v>
      </c>
      <c r="C9" s="19">
        <v>6775000</v>
      </c>
      <c r="D9" s="31">
        <f t="shared" si="0"/>
        <v>11614545.332618026</v>
      </c>
      <c r="E9" s="30"/>
    </row>
    <row r="10" spans="1:6" x14ac:dyDescent="0.3">
      <c r="A10" s="2">
        <v>4</v>
      </c>
      <c r="B10" s="2" t="s">
        <v>320</v>
      </c>
      <c r="C10" s="19">
        <v>2346000</v>
      </c>
      <c r="D10" s="31">
        <f t="shared" si="0"/>
        <v>4021804.1845493563</v>
      </c>
      <c r="E10" s="30"/>
    </row>
    <row r="11" spans="1:6" x14ac:dyDescent="0.3">
      <c r="A11" s="2">
        <v>5</v>
      </c>
      <c r="B11" s="2" t="s">
        <v>321</v>
      </c>
      <c r="C11" s="19">
        <v>202000</v>
      </c>
      <c r="D11" s="31">
        <f t="shared" si="0"/>
        <v>346293.45493562229</v>
      </c>
      <c r="E11" s="30"/>
    </row>
    <row r="12" spans="1:6" x14ac:dyDescent="0.3">
      <c r="A12" s="2">
        <v>6</v>
      </c>
      <c r="B12" s="2" t="s">
        <v>322</v>
      </c>
      <c r="C12" s="19">
        <v>75000</v>
      </c>
      <c r="D12" s="31">
        <f t="shared" si="0"/>
        <v>128574.3025751073</v>
      </c>
      <c r="E12" s="30"/>
    </row>
    <row r="13" spans="1:6" x14ac:dyDescent="0.3">
      <c r="A13" s="2">
        <v>7</v>
      </c>
      <c r="B13" s="2" t="s">
        <v>323</v>
      </c>
      <c r="C13" s="19">
        <v>3424000</v>
      </c>
      <c r="D13" s="31">
        <f t="shared" si="0"/>
        <v>5869845.4935622318</v>
      </c>
      <c r="E13" s="30"/>
    </row>
    <row r="14" spans="1:6" x14ac:dyDescent="0.3">
      <c r="A14" s="2" t="s">
        <v>18</v>
      </c>
      <c r="B14" s="2"/>
      <c r="C14" s="19">
        <f>SUM(C7:C13)</f>
        <v>14912000</v>
      </c>
      <c r="D14" s="31">
        <v>25564000</v>
      </c>
      <c r="E14" s="32">
        <f>(D14-C14)/C14</f>
        <v>0.71432403433476399</v>
      </c>
      <c r="F14" s="21"/>
    </row>
    <row r="15" spans="1:6" x14ac:dyDescent="0.3">
      <c r="D15" s="16"/>
    </row>
    <row r="16" spans="1:6" x14ac:dyDescent="0.3">
      <c r="A16" t="s">
        <v>324</v>
      </c>
    </row>
    <row r="17" spans="1:6" x14ac:dyDescent="0.3">
      <c r="A17" t="s">
        <v>325</v>
      </c>
    </row>
    <row r="19" spans="1:6" x14ac:dyDescent="0.3">
      <c r="A19" s="2">
        <v>8</v>
      </c>
      <c r="B19" s="2" t="s">
        <v>326</v>
      </c>
      <c r="C19" s="19">
        <f>C14*E19</f>
        <v>4473600</v>
      </c>
      <c r="D19" t="s">
        <v>327</v>
      </c>
      <c r="E19" s="64">
        <v>0.3</v>
      </c>
      <c r="F19" s="21"/>
    </row>
    <row r="20" spans="1:6" x14ac:dyDescent="0.3">
      <c r="A20" s="11" t="s">
        <v>328</v>
      </c>
      <c r="B20" s="11"/>
      <c r="C20" s="43">
        <f>C19+C14</f>
        <v>19385600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47731-E68B-407D-A38A-ACEE7692E4F8}">
  <sheetPr>
    <tabColor theme="7"/>
  </sheetPr>
  <dimension ref="A1:AS30"/>
  <sheetViews>
    <sheetView workbookViewId="0">
      <selection activeCell="C34" sqref="C34"/>
    </sheetView>
  </sheetViews>
  <sheetFormatPr defaultRowHeight="14.4" x14ac:dyDescent="0.3"/>
  <cols>
    <col min="1" max="1" width="41.88671875" bestFit="1" customWidth="1"/>
    <col min="2" max="2" width="27.44140625" bestFit="1" customWidth="1"/>
    <col min="3" max="6" width="21.5546875" customWidth="1"/>
    <col min="7" max="7" width="9.5546875" bestFit="1" customWidth="1"/>
    <col min="8" max="8" width="14.109375" customWidth="1"/>
    <col min="9" max="9" width="13.88671875" customWidth="1"/>
    <col min="10" max="10" width="12.88671875" customWidth="1"/>
    <col min="11" max="11" width="14" bestFit="1" customWidth="1"/>
    <col min="12" max="12" width="15.109375" customWidth="1"/>
    <col min="13" max="13" width="16" customWidth="1"/>
    <col min="14" max="14" width="13.5546875" customWidth="1"/>
    <col min="15" max="40" width="13.88671875" bestFit="1" customWidth="1"/>
    <col min="41" max="45" width="12.44140625" bestFit="1" customWidth="1"/>
  </cols>
  <sheetData>
    <row r="1" spans="1:45" x14ac:dyDescent="0.3">
      <c r="C1" s="27">
        <v>0.03</v>
      </c>
      <c r="D1" s="27">
        <v>7.0000000000000007E-2</v>
      </c>
      <c r="K1">
        <v>1</v>
      </c>
      <c r="L1">
        <f>K1+1</f>
        <v>2</v>
      </c>
      <c r="M1">
        <f t="shared" ref="M1:AN1" si="0">L1+1</f>
        <v>3</v>
      </c>
      <c r="N1">
        <f t="shared" si="0"/>
        <v>4</v>
      </c>
      <c r="O1">
        <f t="shared" si="0"/>
        <v>5</v>
      </c>
      <c r="P1">
        <f t="shared" si="0"/>
        <v>6</v>
      </c>
      <c r="Q1">
        <f t="shared" si="0"/>
        <v>7</v>
      </c>
      <c r="R1">
        <f t="shared" si="0"/>
        <v>8</v>
      </c>
      <c r="S1">
        <f t="shared" si="0"/>
        <v>9</v>
      </c>
      <c r="T1">
        <f t="shared" si="0"/>
        <v>10</v>
      </c>
      <c r="U1">
        <f t="shared" si="0"/>
        <v>11</v>
      </c>
      <c r="V1">
        <f t="shared" si="0"/>
        <v>12</v>
      </c>
      <c r="W1">
        <f t="shared" si="0"/>
        <v>13</v>
      </c>
      <c r="X1">
        <f t="shared" si="0"/>
        <v>14</v>
      </c>
      <c r="Y1">
        <f t="shared" si="0"/>
        <v>15</v>
      </c>
      <c r="Z1">
        <f t="shared" si="0"/>
        <v>16</v>
      </c>
      <c r="AA1">
        <f t="shared" si="0"/>
        <v>17</v>
      </c>
      <c r="AB1">
        <f t="shared" si="0"/>
        <v>18</v>
      </c>
      <c r="AC1">
        <f t="shared" si="0"/>
        <v>19</v>
      </c>
      <c r="AD1">
        <f t="shared" si="0"/>
        <v>20</v>
      </c>
      <c r="AE1">
        <f t="shared" si="0"/>
        <v>21</v>
      </c>
      <c r="AF1">
        <f t="shared" si="0"/>
        <v>22</v>
      </c>
      <c r="AG1">
        <f t="shared" si="0"/>
        <v>23</v>
      </c>
      <c r="AH1">
        <f t="shared" si="0"/>
        <v>24</v>
      </c>
      <c r="AI1">
        <f t="shared" si="0"/>
        <v>25</v>
      </c>
      <c r="AJ1">
        <f t="shared" si="0"/>
        <v>26</v>
      </c>
      <c r="AK1">
        <f t="shared" si="0"/>
        <v>27</v>
      </c>
      <c r="AL1">
        <f t="shared" si="0"/>
        <v>28</v>
      </c>
      <c r="AM1">
        <f t="shared" si="0"/>
        <v>29</v>
      </c>
      <c r="AN1">
        <f t="shared" si="0"/>
        <v>30</v>
      </c>
    </row>
    <row r="2" spans="1:45" x14ac:dyDescent="0.3">
      <c r="A2" s="9" t="s">
        <v>41</v>
      </c>
      <c r="B2" s="9" t="s">
        <v>42</v>
      </c>
      <c r="C2" s="9" t="s">
        <v>43</v>
      </c>
      <c r="D2" s="9" t="s">
        <v>44</v>
      </c>
      <c r="E2" s="9" t="s">
        <v>2</v>
      </c>
      <c r="F2" s="9" t="s">
        <v>45</v>
      </c>
      <c r="G2" s="9">
        <v>2022</v>
      </c>
      <c r="H2" s="9">
        <v>2023</v>
      </c>
      <c r="I2" s="9">
        <v>2024</v>
      </c>
      <c r="J2" s="9">
        <v>2025</v>
      </c>
      <c r="K2" s="9">
        <v>2026</v>
      </c>
      <c r="L2" s="9">
        <v>2027</v>
      </c>
      <c r="M2" s="9">
        <v>2028</v>
      </c>
      <c r="N2" s="9">
        <v>2029</v>
      </c>
      <c r="O2" s="9">
        <v>2030</v>
      </c>
      <c r="P2" s="9">
        <v>2031</v>
      </c>
      <c r="Q2" s="9">
        <v>2032</v>
      </c>
      <c r="R2" s="9">
        <v>2033</v>
      </c>
      <c r="S2" s="9">
        <v>2034</v>
      </c>
      <c r="T2" s="9">
        <v>2035</v>
      </c>
      <c r="U2" s="9">
        <v>2036</v>
      </c>
      <c r="V2" s="9">
        <v>2037</v>
      </c>
      <c r="W2" s="9">
        <v>2038</v>
      </c>
      <c r="X2" s="9">
        <v>2039</v>
      </c>
      <c r="Y2" s="9">
        <v>2040</v>
      </c>
      <c r="Z2" s="9">
        <v>2041</v>
      </c>
      <c r="AA2" s="9">
        <v>2042</v>
      </c>
      <c r="AB2" s="9">
        <v>2043</v>
      </c>
      <c r="AC2" s="9">
        <v>2044</v>
      </c>
      <c r="AD2" s="9">
        <v>2045</v>
      </c>
      <c r="AE2" s="9">
        <v>2046</v>
      </c>
      <c r="AF2" s="9">
        <v>2047</v>
      </c>
      <c r="AG2" s="9">
        <v>2048</v>
      </c>
      <c r="AH2" s="9">
        <v>2049</v>
      </c>
      <c r="AI2" s="9">
        <v>2050</v>
      </c>
      <c r="AJ2" s="9">
        <v>2051</v>
      </c>
      <c r="AK2" s="9">
        <v>2052</v>
      </c>
      <c r="AL2" s="9">
        <v>2053</v>
      </c>
      <c r="AM2" s="9">
        <v>2054</v>
      </c>
      <c r="AN2" s="9">
        <v>2055</v>
      </c>
      <c r="AO2" s="14"/>
      <c r="AP2" s="14"/>
      <c r="AQ2" s="14"/>
      <c r="AR2" s="14"/>
      <c r="AS2" s="14"/>
    </row>
    <row r="3" spans="1:45" x14ac:dyDescent="0.3">
      <c r="A3" t="s">
        <v>46</v>
      </c>
      <c r="B3" t="s">
        <v>47</v>
      </c>
      <c r="C3" s="59">
        <f t="shared" ref="C3:C10" si="1">NPV($C$1, G3:AN3)</f>
        <v>4458373.104103799</v>
      </c>
      <c r="D3" s="59">
        <f>NPV($D$1, G3:AN3)</f>
        <v>2285272.4497474418</v>
      </c>
      <c r="E3" s="21">
        <f>SUM(G3:AN3)</f>
        <v>7997045.2648400571</v>
      </c>
      <c r="F3" s="21">
        <f>AVERAGE(J3:AN3)</f>
        <v>257969.20209161474</v>
      </c>
      <c r="G3" s="16">
        <f>'Traffic_Reduced highway VMT'!F56</f>
        <v>0</v>
      </c>
      <c r="H3" s="16">
        <f>'Traffic_Reduced highway VMT'!G56</f>
        <v>0</v>
      </c>
      <c r="I3" s="16">
        <f>'Traffic_Reduced highway VMT'!H56</f>
        <v>0</v>
      </c>
      <c r="J3" s="16">
        <f>'Traffic_Reduced highway VMT'!I56</f>
        <v>22129.369453074432</v>
      </c>
      <c r="K3" s="16">
        <f>'Traffic_Reduced highway VMT'!J56</f>
        <v>45025.475928077823</v>
      </c>
      <c r="L3" s="16">
        <f>'Traffic_Reduced highway VMT'!K56</f>
        <v>122117.29097146292</v>
      </c>
      <c r="M3" s="16">
        <f>'Traffic_Reduced highway VMT'!L56</f>
        <v>187702.32392137009</v>
      </c>
      <c r="N3" s="16">
        <f>'Traffic_Reduced highway VMT'!M56</f>
        <v>222613.74327743787</v>
      </c>
      <c r="O3" s="16">
        <f>'Traffic_Reduced highway VMT'!N56</f>
        <v>258904.5453839752</v>
      </c>
      <c r="P3" s="16">
        <f>'Traffic_Reduced highway VMT'!O56</f>
        <v>260812.67971436284</v>
      </c>
      <c r="Q3" s="16">
        <f>'Traffic_Reduced highway VMT'!P56</f>
        <v>262720.81404475047</v>
      </c>
      <c r="R3" s="16">
        <f>'Traffic_Reduced highway VMT'!Q56</f>
        <v>264628.9483751381</v>
      </c>
      <c r="S3" s="16">
        <f>'Traffic_Reduced highway VMT'!R56</f>
        <v>266537.08270552568</v>
      </c>
      <c r="T3" s="16">
        <f>'Traffic_Reduced highway VMT'!S56</f>
        <v>268445.21703591332</v>
      </c>
      <c r="U3" s="16">
        <f>'Traffic_Reduced highway VMT'!T56</f>
        <v>272261.48569668853</v>
      </c>
      <c r="V3" s="16">
        <f>'Traffic_Reduced highway VMT'!U56</f>
        <v>274169.62002707616</v>
      </c>
      <c r="W3" s="16">
        <f>'Traffic_Reduced highway VMT'!V56</f>
        <v>276077.7543574638</v>
      </c>
      <c r="X3" s="16">
        <f>'Traffic_Reduced highway VMT'!W56</f>
        <v>277985.88868785143</v>
      </c>
      <c r="Y3" s="16">
        <f>'Traffic_Reduced highway VMT'!X56</f>
        <v>279894.02301823901</v>
      </c>
      <c r="Z3" s="16">
        <f>'Traffic_Reduced highway VMT'!Y56</f>
        <v>281802.15734862664</v>
      </c>
      <c r="AA3" s="16">
        <f>'Traffic_Reduced highway VMT'!Z56</f>
        <v>283710.29167901428</v>
      </c>
      <c r="AB3" s="16">
        <f>'Traffic_Reduced highway VMT'!AA56</f>
        <v>287526.56033978949</v>
      </c>
      <c r="AC3" s="16">
        <f>'Traffic_Reduced highway VMT'!AB56</f>
        <v>289434.69467017712</v>
      </c>
      <c r="AD3" s="16">
        <f>'Traffic_Reduced highway VMT'!AC56</f>
        <v>291342.82900056476</v>
      </c>
      <c r="AE3" s="16">
        <f>'Traffic_Reduced highway VMT'!AD56</f>
        <v>293250.96333095239</v>
      </c>
      <c r="AF3" s="16">
        <f>'Traffic_Reduced highway VMT'!AE56</f>
        <v>295159.09766133997</v>
      </c>
      <c r="AG3" s="16">
        <f>'Traffic_Reduced highway VMT'!AF56</f>
        <v>297067.2319917276</v>
      </c>
      <c r="AH3" s="16">
        <f>'Traffic_Reduced highway VMT'!AG56</f>
        <v>298975.36632211524</v>
      </c>
      <c r="AI3" s="16">
        <f>'Traffic_Reduced highway VMT'!AH56</f>
        <v>302791.63498289045</v>
      </c>
      <c r="AJ3" s="16">
        <f>'Traffic_Reduced highway VMT'!AI56</f>
        <v>302791.63498289045</v>
      </c>
      <c r="AK3" s="16">
        <f>'Traffic_Reduced highway VMT'!AJ56</f>
        <v>302791.63498289045</v>
      </c>
      <c r="AL3" s="16">
        <f>'Traffic_Reduced highway VMT'!AK56</f>
        <v>302791.63498289045</v>
      </c>
      <c r="AM3" s="16">
        <f>'Traffic_Reduced highway VMT'!AL56</f>
        <v>302791.63498289045</v>
      </c>
      <c r="AN3" s="16">
        <f>'Traffic_Reduced highway VMT'!AM56</f>
        <v>302791.63498289045</v>
      </c>
      <c r="AO3" s="16"/>
      <c r="AP3" s="16"/>
      <c r="AQ3" s="16"/>
      <c r="AR3" s="16"/>
      <c r="AS3" s="16"/>
    </row>
    <row r="4" spans="1:45" x14ac:dyDescent="0.3">
      <c r="A4" t="s">
        <v>48</v>
      </c>
      <c r="B4" t="s">
        <v>47</v>
      </c>
      <c r="C4" s="59">
        <f t="shared" si="1"/>
        <v>11258419.246085402</v>
      </c>
      <c r="D4" s="59">
        <f t="shared" ref="D4:D10" si="2">NPV($D$1, G4:AN4)</f>
        <v>5880739.2342866128</v>
      </c>
      <c r="E4" s="21">
        <f t="shared" ref="E4:E10" si="3">SUM(G4:AN4)</f>
        <v>19893011.919693984</v>
      </c>
      <c r="F4" s="21">
        <f t="shared" ref="F4:F10" si="4">AVERAGE(J4:AN4)</f>
        <v>641710.06192561239</v>
      </c>
      <c r="G4" s="16">
        <f>'Traffic_Reduced highway VMT'!F53</f>
        <v>0</v>
      </c>
      <c r="H4" s="16">
        <f>'Traffic_Reduced highway VMT'!G53</f>
        <v>0</v>
      </c>
      <c r="I4" s="16">
        <f>'Traffic_Reduced highway VMT'!H53</f>
        <v>0</v>
      </c>
      <c r="J4" s="16">
        <f>'Traffic_Reduced highway VMT'!I53</f>
        <v>65653.504685458684</v>
      </c>
      <c r="K4" s="16">
        <f>'Traffic_Reduced highway VMT'!J53</f>
        <v>131307.00937091737</v>
      </c>
      <c r="L4" s="16">
        <f>'Traffic_Reduced highway VMT'!K53</f>
        <v>350152.02498911292</v>
      </c>
      <c r="M4" s="16">
        <f>'Traffic_Reduced highway VMT'!L53</f>
        <v>525228.03748366947</v>
      </c>
      <c r="N4" s="16">
        <f>'Traffic_Reduced highway VMT'!M53</f>
        <v>612766.04373094765</v>
      </c>
      <c r="O4" s="16">
        <f>'Traffic_Reduced highway VMT'!N53</f>
        <v>700304.04997822584</v>
      </c>
      <c r="P4" s="16">
        <f>'Traffic_Reduced highway VMT'!O53</f>
        <v>700304.04997822584</v>
      </c>
      <c r="Q4" s="16">
        <f>'Traffic_Reduced highway VMT'!P53</f>
        <v>700304.04997822584</v>
      </c>
      <c r="R4" s="16">
        <f>'Traffic_Reduced highway VMT'!Q53</f>
        <v>700304.04997822584</v>
      </c>
      <c r="S4" s="16">
        <f>'Traffic_Reduced highway VMT'!R53</f>
        <v>700304.04997822584</v>
      </c>
      <c r="T4" s="16">
        <f>'Traffic_Reduced highway VMT'!S53</f>
        <v>700304.04997822584</v>
      </c>
      <c r="U4" s="16">
        <f>'Traffic_Reduced highway VMT'!T53</f>
        <v>700304.04997822584</v>
      </c>
      <c r="V4" s="16">
        <f>'Traffic_Reduced highway VMT'!U53</f>
        <v>700304.04997822584</v>
      </c>
      <c r="W4" s="16">
        <f>'Traffic_Reduced highway VMT'!V53</f>
        <v>700304.04997822584</v>
      </c>
      <c r="X4" s="16">
        <f>'Traffic_Reduced highway VMT'!W53</f>
        <v>700304.04997822584</v>
      </c>
      <c r="Y4" s="16">
        <f>'Traffic_Reduced highway VMT'!X53</f>
        <v>700304.04997822584</v>
      </c>
      <c r="Z4" s="16">
        <f>'Traffic_Reduced highway VMT'!Y53</f>
        <v>700304.04997822584</v>
      </c>
      <c r="AA4" s="16">
        <f>'Traffic_Reduced highway VMT'!Z53</f>
        <v>700304.04997822584</v>
      </c>
      <c r="AB4" s="16">
        <f>'Traffic_Reduced highway VMT'!AA53</f>
        <v>700304.04997822584</v>
      </c>
      <c r="AC4" s="16">
        <f>'Traffic_Reduced highway VMT'!AB53</f>
        <v>700304.04997822584</v>
      </c>
      <c r="AD4" s="16">
        <f>'Traffic_Reduced highway VMT'!AC53</f>
        <v>700304.04997822584</v>
      </c>
      <c r="AE4" s="16">
        <f>'Traffic_Reduced highway VMT'!AD53</f>
        <v>700304.04997822584</v>
      </c>
      <c r="AF4" s="16">
        <f>'Traffic_Reduced highway VMT'!AE53</f>
        <v>700304.04997822584</v>
      </c>
      <c r="AG4" s="16">
        <f>'Traffic_Reduced highway VMT'!AF53</f>
        <v>700304.04997822584</v>
      </c>
      <c r="AH4" s="16">
        <f>'Traffic_Reduced highway VMT'!AG53</f>
        <v>700304.04997822584</v>
      </c>
      <c r="AI4" s="16">
        <f>'Traffic_Reduced highway VMT'!AH53</f>
        <v>700304.04997822584</v>
      </c>
      <c r="AJ4" s="16">
        <f>'Traffic_Reduced highway VMT'!AI53</f>
        <v>700304.04997822584</v>
      </c>
      <c r="AK4" s="16">
        <f>'Traffic_Reduced highway VMT'!AJ53</f>
        <v>700304.04997822584</v>
      </c>
      <c r="AL4" s="16">
        <f>'Traffic_Reduced highway VMT'!AK53</f>
        <v>700304.04997822584</v>
      </c>
      <c r="AM4" s="16">
        <f>'Traffic_Reduced highway VMT'!AL53</f>
        <v>700304.04997822584</v>
      </c>
      <c r="AN4" s="16">
        <f>'Traffic_Reduced highway VMT'!AM53</f>
        <v>700304.04997822584</v>
      </c>
      <c r="AO4" s="16"/>
      <c r="AP4" s="16"/>
      <c r="AQ4" s="16"/>
      <c r="AR4" s="16"/>
      <c r="AS4" s="16"/>
    </row>
    <row r="5" spans="1:45" x14ac:dyDescent="0.3">
      <c r="A5" t="s">
        <v>49</v>
      </c>
      <c r="B5" t="s">
        <v>47</v>
      </c>
      <c r="C5" s="59">
        <f t="shared" si="1"/>
        <v>20104595.331688523</v>
      </c>
      <c r="D5" s="59">
        <f t="shared" si="2"/>
        <v>10501463.835398134</v>
      </c>
      <c r="E5" s="21">
        <f t="shared" si="3"/>
        <v>35523721.921526864</v>
      </c>
      <c r="F5" s="21">
        <f t="shared" si="4"/>
        <v>1145926.5135976407</v>
      </c>
      <c r="G5" s="16">
        <f>'Traffic_Reduced highway VMT'!F54</f>
        <v>0</v>
      </c>
      <c r="H5" s="16">
        <f>'Traffic_Reduced highway VMT'!G54</f>
        <v>0</v>
      </c>
      <c r="I5" s="16">
        <f>'Traffic_Reduced highway VMT'!H54</f>
        <v>0</v>
      </c>
      <c r="J5" s="16">
        <f>'Traffic_Reduced highway VMT'!I54</f>
        <v>117240.00634167281</v>
      </c>
      <c r="K5" s="16">
        <f>'Traffic_Reduced highway VMT'!J54</f>
        <v>234480.01268334562</v>
      </c>
      <c r="L5" s="16">
        <f>'Traffic_Reduced highway VMT'!K54</f>
        <v>625280.03382225486</v>
      </c>
      <c r="M5" s="16">
        <f>'Traffic_Reduced highway VMT'!L54</f>
        <v>937920.05073338246</v>
      </c>
      <c r="N5" s="16">
        <f>'Traffic_Reduced highway VMT'!M54</f>
        <v>1094240.0591889462</v>
      </c>
      <c r="O5" s="16">
        <f>'Traffic_Reduced highway VMT'!N54</f>
        <v>1250560.0676445097</v>
      </c>
      <c r="P5" s="16">
        <f>'Traffic_Reduced highway VMT'!O54</f>
        <v>1250560.0676445097</v>
      </c>
      <c r="Q5" s="16">
        <f>'Traffic_Reduced highway VMT'!P54</f>
        <v>1250560.0676445097</v>
      </c>
      <c r="R5" s="16">
        <f>'Traffic_Reduced highway VMT'!Q54</f>
        <v>1250560.0676445097</v>
      </c>
      <c r="S5" s="16">
        <f>'Traffic_Reduced highway VMT'!R54</f>
        <v>1250560.0676445097</v>
      </c>
      <c r="T5" s="16">
        <f>'Traffic_Reduced highway VMT'!S54</f>
        <v>1250560.0676445097</v>
      </c>
      <c r="U5" s="16">
        <f>'Traffic_Reduced highway VMT'!T54</f>
        <v>1250560.0676445097</v>
      </c>
      <c r="V5" s="16">
        <f>'Traffic_Reduced highway VMT'!U54</f>
        <v>1250560.0676445097</v>
      </c>
      <c r="W5" s="16">
        <f>'Traffic_Reduced highway VMT'!V54</f>
        <v>1250560.0676445097</v>
      </c>
      <c r="X5" s="16">
        <f>'Traffic_Reduced highway VMT'!W54</f>
        <v>1250560.0676445097</v>
      </c>
      <c r="Y5" s="16">
        <f>'Traffic_Reduced highway VMT'!X54</f>
        <v>1250560.0676445097</v>
      </c>
      <c r="Z5" s="16">
        <f>'Traffic_Reduced highway VMT'!Y54</f>
        <v>1250560.0676445097</v>
      </c>
      <c r="AA5" s="16">
        <f>'Traffic_Reduced highway VMT'!Z54</f>
        <v>1250560.0676445097</v>
      </c>
      <c r="AB5" s="16">
        <f>'Traffic_Reduced highway VMT'!AA54</f>
        <v>1250560.0676445097</v>
      </c>
      <c r="AC5" s="16">
        <f>'Traffic_Reduced highway VMT'!AB54</f>
        <v>1250560.0676445097</v>
      </c>
      <c r="AD5" s="16">
        <f>'Traffic_Reduced highway VMT'!AC54</f>
        <v>1250560.0676445097</v>
      </c>
      <c r="AE5" s="16">
        <f>'Traffic_Reduced highway VMT'!AD54</f>
        <v>1250560.0676445097</v>
      </c>
      <c r="AF5" s="16">
        <f>'Traffic_Reduced highway VMT'!AE54</f>
        <v>1250560.0676445097</v>
      </c>
      <c r="AG5" s="16">
        <f>'Traffic_Reduced highway VMT'!AF54</f>
        <v>1250560.0676445097</v>
      </c>
      <c r="AH5" s="16">
        <f>'Traffic_Reduced highway VMT'!AG54</f>
        <v>1250560.0676445097</v>
      </c>
      <c r="AI5" s="16">
        <f>'Traffic_Reduced highway VMT'!AH54</f>
        <v>1250560.0676445097</v>
      </c>
      <c r="AJ5" s="16">
        <f>'Traffic_Reduced highway VMT'!AI54</f>
        <v>1250560.0676445097</v>
      </c>
      <c r="AK5" s="16">
        <f>'Traffic_Reduced highway VMT'!AJ54</f>
        <v>1250560.0676445097</v>
      </c>
      <c r="AL5" s="16">
        <f>'Traffic_Reduced highway VMT'!AK54</f>
        <v>1250560.0676445097</v>
      </c>
      <c r="AM5" s="16">
        <f>'Traffic_Reduced highway VMT'!AL54</f>
        <v>1250560.0676445097</v>
      </c>
      <c r="AN5" s="16">
        <f>'Traffic_Reduced highway VMT'!AM54</f>
        <v>1250560.0676445097</v>
      </c>
      <c r="AO5" s="16"/>
      <c r="AP5" s="16"/>
      <c r="AQ5" s="16"/>
      <c r="AR5" s="16"/>
      <c r="AS5" s="16"/>
    </row>
    <row r="6" spans="1:45" x14ac:dyDescent="0.3">
      <c r="A6" t="s">
        <v>50</v>
      </c>
      <c r="B6" t="s">
        <v>47</v>
      </c>
      <c r="C6" s="59">
        <f t="shared" si="1"/>
        <v>509903.30453322222</v>
      </c>
      <c r="D6" s="59">
        <f t="shared" si="2"/>
        <v>266343.64053404226</v>
      </c>
      <c r="E6" s="21">
        <f t="shared" si="3"/>
        <v>900971.29030771193</v>
      </c>
      <c r="F6" s="21">
        <f t="shared" si="4"/>
        <v>29063.590009926193</v>
      </c>
      <c r="G6" s="16">
        <f>'Traffic_Reduced highway VMT'!F55</f>
        <v>0</v>
      </c>
      <c r="H6" s="16">
        <f>'Traffic_Reduced highway VMT'!G55</f>
        <v>0</v>
      </c>
      <c r="I6" s="16">
        <f>'Traffic_Reduced highway VMT'!H55</f>
        <v>0</v>
      </c>
      <c r="J6" s="16">
        <f>'Traffic_Reduced highway VMT'!I55</f>
        <v>2973.5026082762752</v>
      </c>
      <c r="K6" s="16">
        <f>'Traffic_Reduced highway VMT'!J55</f>
        <v>5947.0052165525503</v>
      </c>
      <c r="L6" s="16">
        <f>'Traffic_Reduced highway VMT'!K55</f>
        <v>15858.680577473469</v>
      </c>
      <c r="M6" s="16">
        <f>'Traffic_Reduced highway VMT'!L55</f>
        <v>23788.020866210201</v>
      </c>
      <c r="N6" s="16">
        <f>'Traffic_Reduced highway VMT'!M55</f>
        <v>27752.691010578572</v>
      </c>
      <c r="O6" s="16">
        <f>'Traffic_Reduced highway VMT'!N55</f>
        <v>31717.361154946939</v>
      </c>
      <c r="P6" s="16">
        <f>'Traffic_Reduced highway VMT'!O55</f>
        <v>31717.361154946939</v>
      </c>
      <c r="Q6" s="16">
        <f>'Traffic_Reduced highway VMT'!P55</f>
        <v>31717.361154946939</v>
      </c>
      <c r="R6" s="16">
        <f>'Traffic_Reduced highway VMT'!Q55</f>
        <v>31717.361154946939</v>
      </c>
      <c r="S6" s="16">
        <f>'Traffic_Reduced highway VMT'!R55</f>
        <v>31717.361154946939</v>
      </c>
      <c r="T6" s="16">
        <f>'Traffic_Reduced highway VMT'!S55</f>
        <v>31717.361154946939</v>
      </c>
      <c r="U6" s="16">
        <f>'Traffic_Reduced highway VMT'!T55</f>
        <v>31717.361154946939</v>
      </c>
      <c r="V6" s="16">
        <f>'Traffic_Reduced highway VMT'!U55</f>
        <v>31717.361154946939</v>
      </c>
      <c r="W6" s="16">
        <f>'Traffic_Reduced highway VMT'!V55</f>
        <v>31717.361154946939</v>
      </c>
      <c r="X6" s="16">
        <f>'Traffic_Reduced highway VMT'!W55</f>
        <v>31717.361154946939</v>
      </c>
      <c r="Y6" s="16">
        <f>'Traffic_Reduced highway VMT'!X55</f>
        <v>31717.361154946939</v>
      </c>
      <c r="Z6" s="16">
        <f>'Traffic_Reduced highway VMT'!Y55</f>
        <v>31717.361154946939</v>
      </c>
      <c r="AA6" s="16">
        <f>'Traffic_Reduced highway VMT'!Z55</f>
        <v>31717.361154946939</v>
      </c>
      <c r="AB6" s="16">
        <f>'Traffic_Reduced highway VMT'!AA55</f>
        <v>31717.361154946939</v>
      </c>
      <c r="AC6" s="16">
        <f>'Traffic_Reduced highway VMT'!AB55</f>
        <v>31717.361154946939</v>
      </c>
      <c r="AD6" s="16">
        <f>'Traffic_Reduced highway VMT'!AC55</f>
        <v>31717.361154946939</v>
      </c>
      <c r="AE6" s="16">
        <f>'Traffic_Reduced highway VMT'!AD55</f>
        <v>31717.361154946939</v>
      </c>
      <c r="AF6" s="16">
        <f>'Traffic_Reduced highway VMT'!AE55</f>
        <v>31717.361154946939</v>
      </c>
      <c r="AG6" s="16">
        <f>'Traffic_Reduced highway VMT'!AF55</f>
        <v>31717.361154946939</v>
      </c>
      <c r="AH6" s="16">
        <f>'Traffic_Reduced highway VMT'!AG55</f>
        <v>31717.361154946939</v>
      </c>
      <c r="AI6" s="16">
        <f>'Traffic_Reduced highway VMT'!AH55</f>
        <v>31717.361154946939</v>
      </c>
      <c r="AJ6" s="16">
        <f>'Traffic_Reduced highway VMT'!AI55</f>
        <v>31717.361154946939</v>
      </c>
      <c r="AK6" s="16">
        <f>'Traffic_Reduced highway VMT'!AJ55</f>
        <v>31717.361154946939</v>
      </c>
      <c r="AL6" s="16">
        <f>'Traffic_Reduced highway VMT'!AK55</f>
        <v>31717.361154946939</v>
      </c>
      <c r="AM6" s="16">
        <f>'Traffic_Reduced highway VMT'!AL55</f>
        <v>31717.361154946939</v>
      </c>
      <c r="AN6" s="16">
        <f>'Traffic_Reduced highway VMT'!AM55</f>
        <v>31717.361154946939</v>
      </c>
      <c r="AO6" s="16"/>
      <c r="AP6" s="16"/>
      <c r="AQ6" s="16"/>
      <c r="AR6" s="16"/>
      <c r="AS6" s="16"/>
    </row>
    <row r="7" spans="1:45" s="74" customFormat="1" x14ac:dyDescent="0.3">
      <c r="A7" s="74" t="s">
        <v>51</v>
      </c>
      <c r="B7" s="74" t="s">
        <v>47</v>
      </c>
      <c r="C7" s="59">
        <f t="shared" si="1"/>
        <v>82354443.883632705</v>
      </c>
      <c r="D7" s="59">
        <f t="shared" si="2"/>
        <v>43017141.099335842</v>
      </c>
      <c r="E7" s="21">
        <f t="shared" si="3"/>
        <v>145515804.48440927</v>
      </c>
      <c r="F7" s="21">
        <f t="shared" si="4"/>
        <v>4694058.2091744924</v>
      </c>
      <c r="G7" s="16">
        <f>'Traffic_Reduced highway VMT'!F62+'Traffic_Reduced highway VMT'!F63</f>
        <v>0</v>
      </c>
      <c r="H7" s="16">
        <f>'Traffic_Reduced highway VMT'!G62+'Traffic_Reduced highway VMT'!G63</f>
        <v>0</v>
      </c>
      <c r="I7" s="16">
        <f>'Traffic_Reduced highway VMT'!H62+'Traffic_Reduced highway VMT'!H63</f>
        <v>0</v>
      </c>
      <c r="J7" s="16">
        <f>'Traffic_Reduced highway VMT'!I62+'Traffic_Reduced highway VMT'!I63</f>
        <v>480250.17981653236</v>
      </c>
      <c r="K7" s="16">
        <f>'Traffic_Reduced highway VMT'!J62+'Traffic_Reduced highway VMT'!J63</f>
        <v>960500.35963306471</v>
      </c>
      <c r="L7" s="16">
        <f>'Traffic_Reduced highway VMT'!K62+'Traffic_Reduced highway VMT'!K63</f>
        <v>2561334.2923548394</v>
      </c>
      <c r="M7" s="16">
        <f>'Traffic_Reduced highway VMT'!L62+'Traffic_Reduced highway VMT'!L63</f>
        <v>3842001.4385322588</v>
      </c>
      <c r="N7" s="16">
        <f>'Traffic_Reduced highway VMT'!M62+'Traffic_Reduced highway VMT'!M63</f>
        <v>4482335.0116209686</v>
      </c>
      <c r="O7" s="16">
        <f>'Traffic_Reduced highway VMT'!N62+'Traffic_Reduced highway VMT'!N63</f>
        <v>5122668.5847096788</v>
      </c>
      <c r="P7" s="16">
        <f>'Traffic_Reduced highway VMT'!O62+'Traffic_Reduced highway VMT'!O63</f>
        <v>5122668.5847096788</v>
      </c>
      <c r="Q7" s="16">
        <f>'Traffic_Reduced highway VMT'!P62+'Traffic_Reduced highway VMT'!P63</f>
        <v>5122668.5847096788</v>
      </c>
      <c r="R7" s="16">
        <f>'Traffic_Reduced highway VMT'!Q62+'Traffic_Reduced highway VMT'!Q63</f>
        <v>5122668.5847096788</v>
      </c>
      <c r="S7" s="16">
        <f>'Traffic_Reduced highway VMT'!R62+'Traffic_Reduced highway VMT'!R63</f>
        <v>5122668.5847096788</v>
      </c>
      <c r="T7" s="16">
        <f>'Traffic_Reduced highway VMT'!S62+'Traffic_Reduced highway VMT'!S63</f>
        <v>5122668.5847096788</v>
      </c>
      <c r="U7" s="16">
        <f>'Traffic_Reduced highway VMT'!T62+'Traffic_Reduced highway VMT'!T63</f>
        <v>5122668.5847096788</v>
      </c>
      <c r="V7" s="16">
        <f>'Traffic_Reduced highway VMT'!U62+'Traffic_Reduced highway VMT'!U63</f>
        <v>5122668.5847096788</v>
      </c>
      <c r="W7" s="16">
        <f>'Traffic_Reduced highway VMT'!V62+'Traffic_Reduced highway VMT'!V63</f>
        <v>5122668.5847096788</v>
      </c>
      <c r="X7" s="16">
        <f>'Traffic_Reduced highway VMT'!W62+'Traffic_Reduced highway VMT'!W63</f>
        <v>5122668.5847096788</v>
      </c>
      <c r="Y7" s="16">
        <f>'Traffic_Reduced highway VMT'!X62+'Traffic_Reduced highway VMT'!X63</f>
        <v>5122668.5847096788</v>
      </c>
      <c r="Z7" s="16">
        <f>'Traffic_Reduced highway VMT'!Y62+'Traffic_Reduced highway VMT'!Y63</f>
        <v>5122668.5847096788</v>
      </c>
      <c r="AA7" s="16">
        <f>'Traffic_Reduced highway VMT'!Z62+'Traffic_Reduced highway VMT'!Z63</f>
        <v>5122668.5847096788</v>
      </c>
      <c r="AB7" s="16">
        <f>'Traffic_Reduced highway VMT'!AA62+'Traffic_Reduced highway VMT'!AA63</f>
        <v>5122668.5847096788</v>
      </c>
      <c r="AC7" s="16">
        <f>'Traffic_Reduced highway VMT'!AB62+'Traffic_Reduced highway VMT'!AB63</f>
        <v>5122668.5847096788</v>
      </c>
      <c r="AD7" s="16">
        <f>'Traffic_Reduced highway VMT'!AC62+'Traffic_Reduced highway VMT'!AC63</f>
        <v>5122668.5847096788</v>
      </c>
      <c r="AE7" s="16">
        <f>'Traffic_Reduced highway VMT'!AD62+'Traffic_Reduced highway VMT'!AD63</f>
        <v>5122668.5847096788</v>
      </c>
      <c r="AF7" s="16">
        <f>'Traffic_Reduced highway VMT'!AE62+'Traffic_Reduced highway VMT'!AE63</f>
        <v>5122668.5847096788</v>
      </c>
      <c r="AG7" s="16">
        <f>'Traffic_Reduced highway VMT'!AF62+'Traffic_Reduced highway VMT'!AF63</f>
        <v>5122668.5847096788</v>
      </c>
      <c r="AH7" s="16">
        <f>'Traffic_Reduced highway VMT'!AG62+'Traffic_Reduced highway VMT'!AG63</f>
        <v>5122668.5847096788</v>
      </c>
      <c r="AI7" s="16">
        <f>'Traffic_Reduced highway VMT'!AH62+'Traffic_Reduced highway VMT'!AH63</f>
        <v>5122668.5847096788</v>
      </c>
      <c r="AJ7" s="16">
        <f>'Traffic_Reduced highway VMT'!AI62+'Traffic_Reduced highway VMT'!AI63</f>
        <v>5122668.5847096788</v>
      </c>
      <c r="AK7" s="16">
        <f>'Traffic_Reduced highway VMT'!AJ62+'Traffic_Reduced highway VMT'!AJ63</f>
        <v>5122668.5847096788</v>
      </c>
      <c r="AL7" s="16">
        <f>'Traffic_Reduced highway VMT'!AK62+'Traffic_Reduced highway VMT'!AK63</f>
        <v>5122668.5847096788</v>
      </c>
      <c r="AM7" s="16">
        <f>'Traffic_Reduced highway VMT'!AL62+'Traffic_Reduced highway VMT'!AL63</f>
        <v>5122668.5847096788</v>
      </c>
      <c r="AN7" s="16">
        <f>'Traffic_Reduced highway VMT'!AM62+'Traffic_Reduced highway VMT'!AM63</f>
        <v>5122668.5847096788</v>
      </c>
      <c r="AO7" s="75"/>
      <c r="AP7" s="75"/>
      <c r="AQ7" s="75"/>
      <c r="AR7" s="75"/>
      <c r="AS7" s="75"/>
    </row>
    <row r="8" spans="1:45" s="74" customFormat="1" x14ac:dyDescent="0.3">
      <c r="A8" t="s">
        <v>52</v>
      </c>
      <c r="B8" s="74" t="s">
        <v>47</v>
      </c>
      <c r="C8" s="59">
        <f t="shared" si="1"/>
        <v>1495838.081519268</v>
      </c>
      <c r="D8" s="59">
        <f t="shared" si="2"/>
        <v>781338.25911563903</v>
      </c>
      <c r="E8" s="21">
        <f t="shared" si="3"/>
        <v>2643064.1935759764</v>
      </c>
      <c r="F8" s="21">
        <f t="shared" si="4"/>
        <v>85260.135276644403</v>
      </c>
      <c r="G8" s="16">
        <f>'Traffic_Reduced highway VMT'!F58</f>
        <v>0</v>
      </c>
      <c r="H8" s="16">
        <f>'Traffic_Reduced highway VMT'!G58</f>
        <v>0</v>
      </c>
      <c r="I8" s="16">
        <f>'Traffic_Reduced highway VMT'!H58</f>
        <v>0</v>
      </c>
      <c r="J8" s="16">
        <f>'Traffic_Reduced highway VMT'!I58</f>
        <v>8722.9841372144419</v>
      </c>
      <c r="K8" s="16">
        <f>'Traffic_Reduced highway VMT'!J58</f>
        <v>17445.968274428884</v>
      </c>
      <c r="L8" s="16">
        <f>'Traffic_Reduced highway VMT'!K58</f>
        <v>46522.582065143695</v>
      </c>
      <c r="M8" s="16">
        <f>'Traffic_Reduced highway VMT'!L58</f>
        <v>69783.873097715536</v>
      </c>
      <c r="N8" s="16">
        <f>'Traffic_Reduced highway VMT'!M58</f>
        <v>81414.51861400147</v>
      </c>
      <c r="O8" s="16">
        <f>'Traffic_Reduced highway VMT'!N58</f>
        <v>93045.16413028739</v>
      </c>
      <c r="P8" s="16">
        <f>'Traffic_Reduced highway VMT'!O58</f>
        <v>93045.16413028739</v>
      </c>
      <c r="Q8" s="16">
        <f>'Traffic_Reduced highway VMT'!P58</f>
        <v>93045.16413028739</v>
      </c>
      <c r="R8" s="16">
        <f>'Traffic_Reduced highway VMT'!Q58</f>
        <v>93045.16413028739</v>
      </c>
      <c r="S8" s="16">
        <f>'Traffic_Reduced highway VMT'!R58</f>
        <v>93045.16413028739</v>
      </c>
      <c r="T8" s="16">
        <f>'Traffic_Reduced highway VMT'!S58</f>
        <v>93045.16413028739</v>
      </c>
      <c r="U8" s="16">
        <f>'Traffic_Reduced highway VMT'!T58</f>
        <v>93045.16413028739</v>
      </c>
      <c r="V8" s="16">
        <f>'Traffic_Reduced highway VMT'!U58</f>
        <v>93045.16413028739</v>
      </c>
      <c r="W8" s="16">
        <f>'Traffic_Reduced highway VMT'!V58</f>
        <v>93045.16413028739</v>
      </c>
      <c r="X8" s="16">
        <f>'Traffic_Reduced highway VMT'!W58</f>
        <v>93045.16413028739</v>
      </c>
      <c r="Y8" s="16">
        <f>'Traffic_Reduced highway VMT'!X58</f>
        <v>93045.16413028739</v>
      </c>
      <c r="Z8" s="16">
        <f>'Traffic_Reduced highway VMT'!Y58</f>
        <v>93045.16413028739</v>
      </c>
      <c r="AA8" s="16">
        <f>'Traffic_Reduced highway VMT'!Z58</f>
        <v>93045.16413028739</v>
      </c>
      <c r="AB8" s="16">
        <f>'Traffic_Reduced highway VMT'!AA58</f>
        <v>93045.16413028739</v>
      </c>
      <c r="AC8" s="16">
        <f>'Traffic_Reduced highway VMT'!AB58</f>
        <v>93045.16413028739</v>
      </c>
      <c r="AD8" s="16">
        <f>'Traffic_Reduced highway VMT'!AC58</f>
        <v>93045.16413028739</v>
      </c>
      <c r="AE8" s="16">
        <f>'Traffic_Reduced highway VMT'!AD58</f>
        <v>93045.16413028739</v>
      </c>
      <c r="AF8" s="16">
        <f>'Traffic_Reduced highway VMT'!AE58</f>
        <v>93045.16413028739</v>
      </c>
      <c r="AG8" s="16">
        <f>'Traffic_Reduced highway VMT'!AF58</f>
        <v>93045.16413028739</v>
      </c>
      <c r="AH8" s="16">
        <f>'Traffic_Reduced highway VMT'!AG58</f>
        <v>93045.16413028739</v>
      </c>
      <c r="AI8" s="16">
        <f>'Traffic_Reduced highway VMT'!AH58</f>
        <v>93045.16413028739</v>
      </c>
      <c r="AJ8" s="16">
        <f>'Traffic_Reduced highway VMT'!AI58</f>
        <v>93045.16413028739</v>
      </c>
      <c r="AK8" s="16">
        <f>'Traffic_Reduced highway VMT'!AJ58</f>
        <v>93045.16413028739</v>
      </c>
      <c r="AL8" s="16">
        <f>'Traffic_Reduced highway VMT'!AK58</f>
        <v>93045.16413028739</v>
      </c>
      <c r="AM8" s="16">
        <f>'Traffic_Reduced highway VMT'!AL58</f>
        <v>93045.16413028739</v>
      </c>
      <c r="AN8" s="16">
        <f>'Traffic_Reduced highway VMT'!AM58</f>
        <v>93045.16413028739</v>
      </c>
      <c r="AO8" s="75"/>
      <c r="AP8" s="75"/>
      <c r="AQ8" s="75"/>
      <c r="AR8" s="75"/>
      <c r="AS8" s="75"/>
    </row>
    <row r="9" spans="1:45" s="74" customFormat="1" x14ac:dyDescent="0.3">
      <c r="A9" t="s">
        <v>53</v>
      </c>
      <c r="B9" s="74" t="s">
        <v>47</v>
      </c>
      <c r="C9" s="59">
        <f t="shared" si="1"/>
        <v>16097343.821425619</v>
      </c>
      <c r="D9" s="59">
        <f t="shared" si="2"/>
        <v>8408310.1996200755</v>
      </c>
      <c r="E9" s="21">
        <f t="shared" si="3"/>
        <v>28443127.362340443</v>
      </c>
      <c r="F9" s="21">
        <f t="shared" si="4"/>
        <v>917520.23749485298</v>
      </c>
      <c r="G9" s="16">
        <f>'Traffic_Reduced highway VMT'!F59</f>
        <v>0</v>
      </c>
      <c r="H9" s="16">
        <f>'Traffic_Reduced highway VMT'!G59</f>
        <v>0</v>
      </c>
      <c r="I9" s="16">
        <f>'Traffic_Reduced highway VMT'!H59</f>
        <v>0</v>
      </c>
      <c r="J9" s="16">
        <f>'Traffic_Reduced highway VMT'!I59</f>
        <v>93871.70746647015</v>
      </c>
      <c r="K9" s="16">
        <f>'Traffic_Reduced highway VMT'!J59</f>
        <v>187743.4149329403</v>
      </c>
      <c r="L9" s="16">
        <f>'Traffic_Reduced highway VMT'!K59</f>
        <v>500649.10648784076</v>
      </c>
      <c r="M9" s="16">
        <f>'Traffic_Reduced highway VMT'!L59</f>
        <v>750973.6597317612</v>
      </c>
      <c r="N9" s="16">
        <f>'Traffic_Reduced highway VMT'!M59</f>
        <v>876135.93635372142</v>
      </c>
      <c r="O9" s="16">
        <f>'Traffic_Reduced highway VMT'!N59</f>
        <v>1001298.2129756815</v>
      </c>
      <c r="P9" s="16">
        <f>'Traffic_Reduced highway VMT'!O59</f>
        <v>1001298.2129756815</v>
      </c>
      <c r="Q9" s="16">
        <f>'Traffic_Reduced highway VMT'!P59</f>
        <v>1001298.2129756815</v>
      </c>
      <c r="R9" s="16">
        <f>'Traffic_Reduced highway VMT'!Q59</f>
        <v>1001298.2129756815</v>
      </c>
      <c r="S9" s="16">
        <f>'Traffic_Reduced highway VMT'!R59</f>
        <v>1001298.2129756815</v>
      </c>
      <c r="T9" s="16">
        <f>'Traffic_Reduced highway VMT'!S59</f>
        <v>1001298.2129756815</v>
      </c>
      <c r="U9" s="16">
        <f>'Traffic_Reduced highway VMT'!T59</f>
        <v>1001298.2129756815</v>
      </c>
      <c r="V9" s="16">
        <f>'Traffic_Reduced highway VMT'!U59</f>
        <v>1001298.2129756815</v>
      </c>
      <c r="W9" s="16">
        <f>'Traffic_Reduced highway VMT'!V59</f>
        <v>1001298.2129756815</v>
      </c>
      <c r="X9" s="16">
        <f>'Traffic_Reduced highway VMT'!W59</f>
        <v>1001298.2129756815</v>
      </c>
      <c r="Y9" s="16">
        <f>'Traffic_Reduced highway VMT'!X59</f>
        <v>1001298.2129756815</v>
      </c>
      <c r="Z9" s="16">
        <f>'Traffic_Reduced highway VMT'!Y59</f>
        <v>1001298.2129756815</v>
      </c>
      <c r="AA9" s="16">
        <f>'Traffic_Reduced highway VMT'!Z59</f>
        <v>1001298.2129756815</v>
      </c>
      <c r="AB9" s="16">
        <f>'Traffic_Reduced highway VMT'!AA59</f>
        <v>1001298.2129756815</v>
      </c>
      <c r="AC9" s="16">
        <f>'Traffic_Reduced highway VMT'!AB59</f>
        <v>1001298.2129756815</v>
      </c>
      <c r="AD9" s="16">
        <f>'Traffic_Reduced highway VMT'!AC59</f>
        <v>1001298.2129756815</v>
      </c>
      <c r="AE9" s="16">
        <f>'Traffic_Reduced highway VMT'!AD59</f>
        <v>1001298.2129756815</v>
      </c>
      <c r="AF9" s="16">
        <f>'Traffic_Reduced highway VMT'!AE59</f>
        <v>1001298.2129756815</v>
      </c>
      <c r="AG9" s="16">
        <f>'Traffic_Reduced highway VMT'!AF59</f>
        <v>1001298.2129756815</v>
      </c>
      <c r="AH9" s="16">
        <f>'Traffic_Reduced highway VMT'!AG59</f>
        <v>1001298.2129756815</v>
      </c>
      <c r="AI9" s="16">
        <f>'Traffic_Reduced highway VMT'!AH59</f>
        <v>1001298.2129756815</v>
      </c>
      <c r="AJ9" s="16">
        <f>'Traffic_Reduced highway VMT'!AI59</f>
        <v>1001298.2129756815</v>
      </c>
      <c r="AK9" s="16">
        <f>'Traffic_Reduced highway VMT'!AJ59</f>
        <v>1001298.2129756815</v>
      </c>
      <c r="AL9" s="16">
        <f>'Traffic_Reduced highway VMT'!AK59</f>
        <v>1001298.2129756815</v>
      </c>
      <c r="AM9" s="16">
        <f>'Traffic_Reduced highway VMT'!AL59</f>
        <v>1001298.2129756815</v>
      </c>
      <c r="AN9" s="16">
        <f>'Traffic_Reduced highway VMT'!AM59</f>
        <v>1001298.2129756815</v>
      </c>
      <c r="AO9" s="75"/>
      <c r="AP9" s="75"/>
      <c r="AQ9" s="75"/>
      <c r="AR9" s="75"/>
      <c r="AS9" s="75"/>
    </row>
    <row r="10" spans="1:45" s="74" customFormat="1" x14ac:dyDescent="0.3">
      <c r="A10" t="s">
        <v>54</v>
      </c>
      <c r="B10" s="74" t="s">
        <v>47</v>
      </c>
      <c r="C10" s="59">
        <f t="shared" si="1"/>
        <v>4555852.0249317791</v>
      </c>
      <c r="D10" s="59">
        <f t="shared" si="2"/>
        <v>2379710.4338547373</v>
      </c>
      <c r="E10" s="21">
        <f t="shared" si="3"/>
        <v>8049941.7063227715</v>
      </c>
      <c r="F10" s="21">
        <f t="shared" si="4"/>
        <v>259675.53891363778</v>
      </c>
      <c r="G10" s="16">
        <f>'Traffic_Reduced highway VMT'!F60</f>
        <v>0</v>
      </c>
      <c r="H10" s="16">
        <f>'Traffic_Reduced highway VMT'!G60</f>
        <v>0</v>
      </c>
      <c r="I10" s="16">
        <f>'Traffic_Reduced highway VMT'!H60</f>
        <v>0</v>
      </c>
      <c r="J10" s="16">
        <f>'Traffic_Reduced highway VMT'!I60</f>
        <v>26567.464377302873</v>
      </c>
      <c r="K10" s="16">
        <f>'Traffic_Reduced highway VMT'!J60</f>
        <v>53134.928754605746</v>
      </c>
      <c r="L10" s="16">
        <f>'Traffic_Reduced highway VMT'!K60</f>
        <v>141693.1433456153</v>
      </c>
      <c r="M10" s="16">
        <f>'Traffic_Reduced highway VMT'!L60</f>
        <v>212539.71501842298</v>
      </c>
      <c r="N10" s="16">
        <f>'Traffic_Reduced highway VMT'!M60</f>
        <v>247963.00085482682</v>
      </c>
      <c r="O10" s="16">
        <f>'Traffic_Reduced highway VMT'!N60</f>
        <v>283386.28669123061</v>
      </c>
      <c r="P10" s="16">
        <f>'Traffic_Reduced highway VMT'!O60</f>
        <v>283386.28669123061</v>
      </c>
      <c r="Q10" s="16">
        <f>'Traffic_Reduced highway VMT'!P60</f>
        <v>283386.28669123061</v>
      </c>
      <c r="R10" s="16">
        <f>'Traffic_Reduced highway VMT'!Q60</f>
        <v>283386.28669123061</v>
      </c>
      <c r="S10" s="16">
        <f>'Traffic_Reduced highway VMT'!R60</f>
        <v>283386.28669123061</v>
      </c>
      <c r="T10" s="16">
        <f>'Traffic_Reduced highway VMT'!S60</f>
        <v>283386.28669123061</v>
      </c>
      <c r="U10" s="16">
        <f>'Traffic_Reduced highway VMT'!T60</f>
        <v>283386.28669123061</v>
      </c>
      <c r="V10" s="16">
        <f>'Traffic_Reduced highway VMT'!U60</f>
        <v>283386.28669123061</v>
      </c>
      <c r="W10" s="16">
        <f>'Traffic_Reduced highway VMT'!V60</f>
        <v>283386.28669123061</v>
      </c>
      <c r="X10" s="16">
        <f>'Traffic_Reduced highway VMT'!W60</f>
        <v>283386.28669123061</v>
      </c>
      <c r="Y10" s="16">
        <f>'Traffic_Reduced highway VMT'!X60</f>
        <v>283386.28669123061</v>
      </c>
      <c r="Z10" s="16">
        <f>'Traffic_Reduced highway VMT'!Y60</f>
        <v>283386.28669123061</v>
      </c>
      <c r="AA10" s="16">
        <f>'Traffic_Reduced highway VMT'!Z60</f>
        <v>283386.28669123061</v>
      </c>
      <c r="AB10" s="16">
        <f>'Traffic_Reduced highway VMT'!AA60</f>
        <v>283386.28669123061</v>
      </c>
      <c r="AC10" s="16">
        <f>'Traffic_Reduced highway VMT'!AB60</f>
        <v>283386.28669123061</v>
      </c>
      <c r="AD10" s="16">
        <f>'Traffic_Reduced highway VMT'!AC60</f>
        <v>283386.28669123061</v>
      </c>
      <c r="AE10" s="16">
        <f>'Traffic_Reduced highway VMT'!AD60</f>
        <v>283386.28669123061</v>
      </c>
      <c r="AF10" s="16">
        <f>'Traffic_Reduced highway VMT'!AE60</f>
        <v>283386.28669123061</v>
      </c>
      <c r="AG10" s="16">
        <f>'Traffic_Reduced highway VMT'!AF60</f>
        <v>283386.28669123061</v>
      </c>
      <c r="AH10" s="16">
        <f>'Traffic_Reduced highway VMT'!AG60</f>
        <v>283386.28669123061</v>
      </c>
      <c r="AI10" s="16">
        <f>'Traffic_Reduced highway VMT'!AH60</f>
        <v>283386.28669123061</v>
      </c>
      <c r="AJ10" s="16">
        <f>'Traffic_Reduced highway VMT'!AI60</f>
        <v>283386.28669123061</v>
      </c>
      <c r="AK10" s="16">
        <f>'Traffic_Reduced highway VMT'!AJ60</f>
        <v>283386.28669123061</v>
      </c>
      <c r="AL10" s="16">
        <f>'Traffic_Reduced highway VMT'!AK60</f>
        <v>283386.28669123061</v>
      </c>
      <c r="AM10" s="16">
        <f>'Traffic_Reduced highway VMT'!AL60</f>
        <v>283386.28669123061</v>
      </c>
      <c r="AN10" s="16">
        <f>'Traffic_Reduced highway VMT'!AM60</f>
        <v>283386.28669123061</v>
      </c>
      <c r="AO10" s="75"/>
      <c r="AP10" s="75"/>
      <c r="AQ10" s="75"/>
      <c r="AR10" s="75"/>
      <c r="AS10" s="75"/>
    </row>
    <row r="11" spans="1:45" x14ac:dyDescent="0.3">
      <c r="A11" t="s">
        <v>55</v>
      </c>
      <c r="B11" t="s">
        <v>56</v>
      </c>
      <c r="C11" s="59">
        <f t="shared" ref="C11:C16" si="5">-NPV($C$1, G11:AN11)</f>
        <v>25401.483664332372</v>
      </c>
      <c r="D11" s="59">
        <f>-NPV($D$1, G11:AN11)</f>
        <v>10539.39886470228</v>
      </c>
      <c r="E11" s="21">
        <f>-SUM(G11:AN11)</f>
        <v>50651.161050066054</v>
      </c>
      <c r="F11" s="21">
        <f>-AVERAGE(J11:AN11)</f>
        <v>1633.9084209698726</v>
      </c>
      <c r="G11" s="16">
        <v>0</v>
      </c>
      <c r="H11" s="16">
        <v>0</v>
      </c>
      <c r="I11" s="16">
        <v>0</v>
      </c>
      <c r="J11" s="16">
        <f>'Traffic_Reduced port VMT'!F42</f>
        <v>1178.2665</v>
      </c>
      <c r="K11" s="16">
        <f>'Traffic_Reduced port VMT'!G42</f>
        <v>2356.5329999999999</v>
      </c>
      <c r="L11" s="16">
        <f>'Traffic_Reduced port VMT'!H42</f>
        <v>1565.7266666666642</v>
      </c>
      <c r="M11" s="16">
        <f>'Traffic_Reduced port VMT'!I42</f>
        <v>735.45030303030012</v>
      </c>
      <c r="N11" s="16">
        <f>'Traffic_Reduced port VMT'!J42</f>
        <v>-136.39969696969987</v>
      </c>
      <c r="O11" s="16">
        <f>'Traffic_Reduced port VMT'!K42</f>
        <v>-1052.0166666666712</v>
      </c>
      <c r="P11" s="16">
        <f>'Traffic_Reduced port VMT'!L42</f>
        <v>-2012.696666666671</v>
      </c>
      <c r="Q11" s="16">
        <f>'Traffic_Reduced port VMT'!M42</f>
        <v>-2220.2510203941661</v>
      </c>
      <c r="R11" s="16">
        <f>'Traffic_Reduced port VMT'!N42</f>
        <v>-2220.2510203941661</v>
      </c>
      <c r="S11" s="16">
        <f>'Traffic_Reduced port VMT'!O42</f>
        <v>-2220.2510203941661</v>
      </c>
      <c r="T11" s="16">
        <f>'Traffic_Reduced port VMT'!P42</f>
        <v>-2220.2510203941661</v>
      </c>
      <c r="U11" s="16">
        <f>'Traffic_Reduced port VMT'!Q42</f>
        <v>-2220.2510203941661</v>
      </c>
      <c r="V11" s="16">
        <f>'Traffic_Reduced port VMT'!R42</f>
        <v>-2220.2510203941661</v>
      </c>
      <c r="W11" s="16">
        <f>'Traffic_Reduced port VMT'!S42</f>
        <v>-2220.2510203941661</v>
      </c>
      <c r="X11" s="16">
        <f>'Traffic_Reduced port VMT'!T42</f>
        <v>-2220.2510203941661</v>
      </c>
      <c r="Y11" s="16">
        <f>'Traffic_Reduced port VMT'!U42</f>
        <v>-2220.2510203941661</v>
      </c>
      <c r="Z11" s="16">
        <f>'Traffic_Reduced port VMT'!V42</f>
        <v>-2220.2510203941661</v>
      </c>
      <c r="AA11" s="16">
        <f>'Traffic_Reduced port VMT'!W42</f>
        <v>-2220.2510203941661</v>
      </c>
      <c r="AB11" s="16">
        <f>'Traffic_Reduced port VMT'!X42</f>
        <v>-2220.2510203941661</v>
      </c>
      <c r="AC11" s="16">
        <f>'Traffic_Reduced port VMT'!Y42</f>
        <v>-2220.2510203941661</v>
      </c>
      <c r="AD11" s="16">
        <f>'Traffic_Reduced port VMT'!Z42</f>
        <v>-2220.2510203941661</v>
      </c>
      <c r="AE11" s="16">
        <f>'Traffic_Reduced port VMT'!AA42</f>
        <v>-2220.2510203941661</v>
      </c>
      <c r="AF11" s="16">
        <f>'Traffic_Reduced port VMT'!AB42</f>
        <v>-2220.2510203941661</v>
      </c>
      <c r="AG11" s="16">
        <f>'Traffic_Reduced port VMT'!AC42</f>
        <v>-2220.2510203941661</v>
      </c>
      <c r="AH11" s="16">
        <f>'Traffic_Reduced port VMT'!AD42</f>
        <v>-2220.2510203941661</v>
      </c>
      <c r="AI11" s="16">
        <f>'Traffic_Reduced port VMT'!AE42</f>
        <v>-2220.2510203941661</v>
      </c>
      <c r="AJ11" s="16">
        <f>'Traffic_Reduced port VMT'!AF42</f>
        <v>-2220.2510203941661</v>
      </c>
      <c r="AK11" s="16">
        <f>'Traffic_Reduced port VMT'!AG42</f>
        <v>-2220.2510203941661</v>
      </c>
      <c r="AL11" s="16">
        <f>'Traffic_Reduced port VMT'!AH42</f>
        <v>-2220.2510203941661</v>
      </c>
      <c r="AM11" s="16">
        <f>'Traffic_Reduced port VMT'!AI42</f>
        <v>-2220.2510203941661</v>
      </c>
      <c r="AN11" s="16">
        <f>'Traffic_Reduced port VMT'!AJ42</f>
        <v>-2220.2510203941661</v>
      </c>
    </row>
    <row r="12" spans="1:45" x14ac:dyDescent="0.3">
      <c r="A12" t="s">
        <v>57</v>
      </c>
      <c r="B12" t="s">
        <v>56</v>
      </c>
      <c r="C12" s="59">
        <f t="shared" si="5"/>
        <v>3907.4427060075977</v>
      </c>
      <c r="D12" s="59">
        <f t="shared" ref="D12:D16" si="6">-NPV($D$1, G12:AN12)</f>
        <v>1621.247709928524</v>
      </c>
      <c r="E12" s="21">
        <f t="shared" ref="E12:E16" si="7">-SUM(G12:AN12)</f>
        <v>7791.5334557328333</v>
      </c>
      <c r="F12" s="21">
        <f t="shared" ref="F12:F16" si="8">-AVERAGE(J12:AN12)</f>
        <v>251.33978889460752</v>
      </c>
      <c r="G12" s="16">
        <v>0</v>
      </c>
      <c r="H12" s="16">
        <v>0</v>
      </c>
      <c r="I12" s="16">
        <v>0</v>
      </c>
      <c r="J12" s="16">
        <f>'Traffic_Reduced port VMT'!F43</f>
        <v>181.24960344827585</v>
      </c>
      <c r="K12" s="16">
        <f>'Traffic_Reduced port VMT'!G43</f>
        <v>362.4992068965517</v>
      </c>
      <c r="L12" s="16">
        <f>'Traffic_Reduced port VMT'!H43</f>
        <v>240.85157088122571</v>
      </c>
      <c r="M12" s="16">
        <f>'Traffic_Reduced port VMT'!I43</f>
        <v>113.13236502960596</v>
      </c>
      <c r="N12" s="16">
        <f>'Traffic_Reduced port VMT'!J43</f>
        <v>-20.982002786485992</v>
      </c>
      <c r="O12" s="16">
        <f>'Traffic_Reduced port VMT'!K43</f>
        <v>-161.82892720306583</v>
      </c>
      <c r="P12" s="16">
        <f>'Traffic_Reduced port VMT'!L43</f>
        <v>-309.60777777777849</v>
      </c>
      <c r="Q12" s="16">
        <f>'Traffic_Reduced port VMT'!M43</f>
        <v>-341.53531225921512</v>
      </c>
      <c r="R12" s="16">
        <f>'Traffic_Reduced port VMT'!N43</f>
        <v>-341.53531225921512</v>
      </c>
      <c r="S12" s="16">
        <f>'Traffic_Reduced port VMT'!O43</f>
        <v>-341.53531225921512</v>
      </c>
      <c r="T12" s="16">
        <f>'Traffic_Reduced port VMT'!P43</f>
        <v>-341.53531225921512</v>
      </c>
      <c r="U12" s="16">
        <f>'Traffic_Reduced port VMT'!Q43</f>
        <v>-341.53531225921512</v>
      </c>
      <c r="V12" s="16">
        <f>'Traffic_Reduced port VMT'!R43</f>
        <v>-341.53531225921512</v>
      </c>
      <c r="W12" s="16">
        <f>'Traffic_Reduced port VMT'!S43</f>
        <v>-341.53531225921512</v>
      </c>
      <c r="X12" s="16">
        <f>'Traffic_Reduced port VMT'!T43</f>
        <v>-341.53531225921512</v>
      </c>
      <c r="Y12" s="16">
        <f>'Traffic_Reduced port VMT'!U43</f>
        <v>-341.53531225921512</v>
      </c>
      <c r="Z12" s="16">
        <f>'Traffic_Reduced port VMT'!V43</f>
        <v>-341.53531225921512</v>
      </c>
      <c r="AA12" s="16">
        <f>'Traffic_Reduced port VMT'!W43</f>
        <v>-341.53531225921512</v>
      </c>
      <c r="AB12" s="16">
        <f>'Traffic_Reduced port VMT'!X43</f>
        <v>-341.53531225921512</v>
      </c>
      <c r="AC12" s="16">
        <f>'Traffic_Reduced port VMT'!Y43</f>
        <v>-341.53531225921512</v>
      </c>
      <c r="AD12" s="16">
        <f>'Traffic_Reduced port VMT'!Z43</f>
        <v>-341.53531225921512</v>
      </c>
      <c r="AE12" s="16">
        <f>'Traffic_Reduced port VMT'!AA43</f>
        <v>-341.53531225921512</v>
      </c>
      <c r="AF12" s="16">
        <f>'Traffic_Reduced port VMT'!AB43</f>
        <v>-341.53531225921512</v>
      </c>
      <c r="AG12" s="16">
        <f>'Traffic_Reduced port VMT'!AC43</f>
        <v>-341.53531225921512</v>
      </c>
      <c r="AH12" s="16">
        <f>'Traffic_Reduced port VMT'!AD43</f>
        <v>-341.53531225921512</v>
      </c>
      <c r="AI12" s="16">
        <f>'Traffic_Reduced port VMT'!AE43</f>
        <v>-341.53531225921512</v>
      </c>
      <c r="AJ12" s="16">
        <f>'Traffic_Reduced port VMT'!AF43</f>
        <v>-341.53531225921512</v>
      </c>
      <c r="AK12" s="16">
        <f>'Traffic_Reduced port VMT'!AG43</f>
        <v>-341.53531225921512</v>
      </c>
      <c r="AL12" s="16">
        <f>'Traffic_Reduced port VMT'!AH43</f>
        <v>-341.53531225921512</v>
      </c>
      <c r="AM12" s="16">
        <f>'Traffic_Reduced port VMT'!AI43</f>
        <v>-341.53531225921512</v>
      </c>
      <c r="AN12" s="16">
        <f>'Traffic_Reduced port VMT'!AJ43</f>
        <v>-341.53531225921512</v>
      </c>
    </row>
    <row r="13" spans="1:45" x14ac:dyDescent="0.3">
      <c r="A13" t="s">
        <v>58</v>
      </c>
      <c r="B13" t="s">
        <v>56</v>
      </c>
      <c r="C13" s="59">
        <f t="shared" si="5"/>
        <v>1674.0158907822608</v>
      </c>
      <c r="D13" s="59">
        <f t="shared" si="6"/>
        <v>699.33604154836451</v>
      </c>
      <c r="E13" s="21">
        <f t="shared" si="7"/>
        <v>3340.7376024365549</v>
      </c>
      <c r="F13" s="21">
        <f t="shared" si="8"/>
        <v>107.76572911085661</v>
      </c>
      <c r="G13" s="16">
        <v>0</v>
      </c>
      <c r="H13" s="16">
        <v>0</v>
      </c>
      <c r="I13" s="16">
        <v>0</v>
      </c>
      <c r="J13" s="16">
        <f>'Traffic_Reduced port VMT'!F44</f>
        <v>62.644920075000002</v>
      </c>
      <c r="K13" s="16">
        <f>'Traffic_Reduced port VMT'!G44</f>
        <v>132.83926937999999</v>
      </c>
      <c r="L13" s="16">
        <f>'Traffic_Reduced port VMT'!H44</f>
        <v>89.723133799999857</v>
      </c>
      <c r="M13" s="16">
        <f>'Traffic_Reduced port VMT'!I44</f>
        <v>42.888175618181648</v>
      </c>
      <c r="N13" s="16">
        <f>'Traffic_Reduced port VMT'!J44</f>
        <v>-8.0128437303032012</v>
      </c>
      <c r="O13" s="16">
        <f>'Traffic_Reduced port VMT'!K44</f>
        <v>-62.253198166666934</v>
      </c>
      <c r="P13" s="16">
        <f>'Traffic_Reduced port VMT'!L44</f>
        <v>-119.96657070000026</v>
      </c>
      <c r="Q13" s="16">
        <f>'Traffic_Reduced port VMT'!M44</f>
        <v>-133.2920614186126</v>
      </c>
      <c r="R13" s="16">
        <f>'Traffic_Reduced port VMT'!N44</f>
        <v>-134.24629696354793</v>
      </c>
      <c r="S13" s="16">
        <f>'Traffic_Reduced port VMT'!O44</f>
        <v>-136.15476805341871</v>
      </c>
      <c r="T13" s="16">
        <f>'Traffic_Reduced port VMT'!P44</f>
        <v>-137.10900359835404</v>
      </c>
      <c r="U13" s="16">
        <f>'Traffic_Reduced port VMT'!Q44</f>
        <v>-138.06323914328942</v>
      </c>
      <c r="V13" s="16">
        <f>'Traffic_Reduced port VMT'!R44</f>
        <v>-139.01747468822481</v>
      </c>
      <c r="W13" s="16">
        <f>'Traffic_Reduced port VMT'!S44</f>
        <v>-139.97171023316014</v>
      </c>
      <c r="X13" s="16">
        <f>'Traffic_Reduced port VMT'!T44</f>
        <v>-140.92594577809552</v>
      </c>
      <c r="Y13" s="16">
        <f>'Traffic_Reduced port VMT'!U44</f>
        <v>-141.88018132303085</v>
      </c>
      <c r="Z13" s="16">
        <f>'Traffic_Reduced port VMT'!V44</f>
        <v>-143.78865241290163</v>
      </c>
      <c r="AA13" s="16">
        <f>'Traffic_Reduced port VMT'!W44</f>
        <v>-144.74288795783696</v>
      </c>
      <c r="AB13" s="16">
        <f>'Traffic_Reduced port VMT'!X44</f>
        <v>-145.69712350277234</v>
      </c>
      <c r="AC13" s="16">
        <f>'Traffic_Reduced port VMT'!Y44</f>
        <v>-146.65135904770773</v>
      </c>
      <c r="AD13" s="16">
        <f>'Traffic_Reduced port VMT'!Z44</f>
        <v>-147.60559459264306</v>
      </c>
      <c r="AE13" s="16">
        <f>'Traffic_Reduced port VMT'!AA44</f>
        <v>-148.55983013757844</v>
      </c>
      <c r="AF13" s="16">
        <f>'Traffic_Reduced port VMT'!AB44</f>
        <v>-149.51406568251377</v>
      </c>
      <c r="AG13" s="16">
        <f>'Traffic_Reduced port VMT'!AC44</f>
        <v>-151.42253677238455</v>
      </c>
      <c r="AH13" s="16">
        <f>'Traffic_Reduced port VMT'!AD44</f>
        <v>-151.42253677238455</v>
      </c>
      <c r="AI13" s="16">
        <f>'Traffic_Reduced port VMT'!AE44</f>
        <v>-151.42253677238455</v>
      </c>
      <c r="AJ13" s="16">
        <f>'Traffic_Reduced port VMT'!AF44</f>
        <v>-151.42253677238455</v>
      </c>
      <c r="AK13" s="16">
        <f>'Traffic_Reduced port VMT'!AG44</f>
        <v>-151.42253677238455</v>
      </c>
      <c r="AL13" s="16">
        <f>'Traffic_Reduced port VMT'!AH44</f>
        <v>-151.42253677238455</v>
      </c>
      <c r="AM13" s="16">
        <f>'Traffic_Reduced port VMT'!AI44</f>
        <v>-151.42253677238455</v>
      </c>
      <c r="AN13" s="16">
        <f>'Traffic_Reduced port VMT'!AJ44</f>
        <v>-151.42253677238455</v>
      </c>
    </row>
    <row r="14" spans="1:45" x14ac:dyDescent="0.3">
      <c r="A14" t="s">
        <v>59</v>
      </c>
      <c r="B14" t="s">
        <v>56</v>
      </c>
      <c r="C14" s="59">
        <f t="shared" si="5"/>
        <v>4006.7319402482767</v>
      </c>
      <c r="D14" s="59">
        <f t="shared" si="6"/>
        <v>1662.444076899118</v>
      </c>
      <c r="E14" s="21">
        <f t="shared" si="7"/>
        <v>7989.5185443410264</v>
      </c>
      <c r="F14" s="21">
        <f t="shared" si="8"/>
        <v>257.72640465616212</v>
      </c>
      <c r="G14" s="16">
        <v>0</v>
      </c>
      <c r="H14" s="16">
        <v>0</v>
      </c>
      <c r="I14" s="16">
        <v>0</v>
      </c>
      <c r="J14" s="16">
        <f>'Traffic_Reduced port VMT'!F45</f>
        <v>185.85520759574999</v>
      </c>
      <c r="K14" s="16">
        <f>'Traffic_Reduced port VMT'!G45</f>
        <v>371.71041519149998</v>
      </c>
      <c r="L14" s="16">
        <f>'Traffic_Reduced port VMT'!H45</f>
        <v>246.97167802999968</v>
      </c>
      <c r="M14" s="16">
        <f>'Traffic_Reduced port VMT'!I45</f>
        <v>116.00709070999956</v>
      </c>
      <c r="N14" s="16">
        <f>'Traffic_Reduced port VMT'!J45</f>
        <v>-21.51516146500046</v>
      </c>
      <c r="O14" s="16">
        <f>'Traffic_Reduced port VMT'!K45</f>
        <v>-165.94104642500074</v>
      </c>
      <c r="P14" s="16">
        <f>'Traffic_Reduced port VMT'!L45</f>
        <v>-317.47499976500075</v>
      </c>
      <c r="Q14" s="16">
        <f>'Traffic_Reduced port VMT'!M45</f>
        <v>-350.21382200888644</v>
      </c>
      <c r="R14" s="16">
        <f>'Traffic_Reduced port VMT'!N45</f>
        <v>-350.21382200888644</v>
      </c>
      <c r="S14" s="16">
        <f>'Traffic_Reduced port VMT'!O45</f>
        <v>-350.21382200888644</v>
      </c>
      <c r="T14" s="16">
        <f>'Traffic_Reduced port VMT'!P45</f>
        <v>-350.21382200888644</v>
      </c>
      <c r="U14" s="16">
        <f>'Traffic_Reduced port VMT'!Q45</f>
        <v>-350.21382200888644</v>
      </c>
      <c r="V14" s="16">
        <f>'Traffic_Reduced port VMT'!R45</f>
        <v>-350.21382200888644</v>
      </c>
      <c r="W14" s="16">
        <f>'Traffic_Reduced port VMT'!S45</f>
        <v>-350.21382200888644</v>
      </c>
      <c r="X14" s="16">
        <f>'Traffic_Reduced port VMT'!T45</f>
        <v>-350.21382200888644</v>
      </c>
      <c r="Y14" s="16">
        <f>'Traffic_Reduced port VMT'!U45</f>
        <v>-350.21382200888644</v>
      </c>
      <c r="Z14" s="16">
        <f>'Traffic_Reduced port VMT'!V45</f>
        <v>-350.21382200888644</v>
      </c>
      <c r="AA14" s="16">
        <f>'Traffic_Reduced port VMT'!W45</f>
        <v>-350.21382200888644</v>
      </c>
      <c r="AB14" s="16">
        <f>'Traffic_Reduced port VMT'!X45</f>
        <v>-350.21382200888644</v>
      </c>
      <c r="AC14" s="16">
        <f>'Traffic_Reduced port VMT'!Y45</f>
        <v>-350.21382200888644</v>
      </c>
      <c r="AD14" s="16">
        <f>'Traffic_Reduced port VMT'!Z45</f>
        <v>-350.21382200888644</v>
      </c>
      <c r="AE14" s="16">
        <f>'Traffic_Reduced port VMT'!AA45</f>
        <v>-350.21382200888644</v>
      </c>
      <c r="AF14" s="16">
        <f>'Traffic_Reduced port VMT'!AB45</f>
        <v>-350.21382200888644</v>
      </c>
      <c r="AG14" s="16">
        <f>'Traffic_Reduced port VMT'!AC45</f>
        <v>-350.21382200888644</v>
      </c>
      <c r="AH14" s="16">
        <f>'Traffic_Reduced port VMT'!AD45</f>
        <v>-350.21382200888644</v>
      </c>
      <c r="AI14" s="16">
        <f>'Traffic_Reduced port VMT'!AE45</f>
        <v>-350.21382200888644</v>
      </c>
      <c r="AJ14" s="16">
        <f>'Traffic_Reduced port VMT'!AF45</f>
        <v>-350.21382200888644</v>
      </c>
      <c r="AK14" s="16">
        <f>'Traffic_Reduced port VMT'!AG45</f>
        <v>-350.21382200888644</v>
      </c>
      <c r="AL14" s="16">
        <f>'Traffic_Reduced port VMT'!AH45</f>
        <v>-350.21382200888644</v>
      </c>
      <c r="AM14" s="16">
        <f>'Traffic_Reduced port VMT'!AI45</f>
        <v>-350.21382200888644</v>
      </c>
      <c r="AN14" s="16">
        <f>'Traffic_Reduced port VMT'!AJ45</f>
        <v>-350.21382200888644</v>
      </c>
    </row>
    <row r="15" spans="1:45" x14ac:dyDescent="0.3">
      <c r="A15" t="s">
        <v>60</v>
      </c>
      <c r="B15" t="s">
        <v>56</v>
      </c>
      <c r="C15" s="59">
        <f t="shared" si="5"/>
        <v>7154.9764225783038</v>
      </c>
      <c r="D15" s="59">
        <f t="shared" si="6"/>
        <v>2968.6907812782406</v>
      </c>
      <c r="E15" s="21">
        <f t="shared" si="7"/>
        <v>14267.192730884297</v>
      </c>
      <c r="F15" s="21">
        <f t="shared" si="8"/>
        <v>460.23202357691281</v>
      </c>
      <c r="G15" s="16">
        <v>0</v>
      </c>
      <c r="H15" s="16">
        <v>0</v>
      </c>
      <c r="I15" s="16">
        <v>0</v>
      </c>
      <c r="J15" s="16">
        <f>'Traffic_Reduced port VMT'!F46</f>
        <v>331.88884312499999</v>
      </c>
      <c r="K15" s="16">
        <f>'Traffic_Reduced port VMT'!G46</f>
        <v>663.77768624999999</v>
      </c>
      <c r="L15" s="16">
        <f>'Traffic_Reduced port VMT'!H46</f>
        <v>441.02689166666602</v>
      </c>
      <c r="M15" s="16">
        <f>'Traffic_Reduced port VMT'!I46</f>
        <v>207.15835530302948</v>
      </c>
      <c r="N15" s="16">
        <f>'Traffic_Reduced port VMT'!J46</f>
        <v>-38.420457196970517</v>
      </c>
      <c r="O15" s="16">
        <f>'Traffic_Reduced port VMT'!K46</f>
        <v>-296.32735416666799</v>
      </c>
      <c r="P15" s="16">
        <f>'Traffic_Reduced port VMT'!L46</f>
        <v>-566.92740416666788</v>
      </c>
      <c r="Q15" s="16">
        <f>'Traffic_Reduced port VMT'!M46</f>
        <v>-625.39038715411209</v>
      </c>
      <c r="R15" s="16">
        <f>'Traffic_Reduced port VMT'!N46</f>
        <v>-625.39038715411209</v>
      </c>
      <c r="S15" s="16">
        <f>'Traffic_Reduced port VMT'!O46</f>
        <v>-625.39038715411209</v>
      </c>
      <c r="T15" s="16">
        <f>'Traffic_Reduced port VMT'!P46</f>
        <v>-625.39038715411209</v>
      </c>
      <c r="U15" s="16">
        <f>'Traffic_Reduced port VMT'!Q46</f>
        <v>-625.39038715411209</v>
      </c>
      <c r="V15" s="16">
        <f>'Traffic_Reduced port VMT'!R46</f>
        <v>-625.39038715411209</v>
      </c>
      <c r="W15" s="16">
        <f>'Traffic_Reduced port VMT'!S46</f>
        <v>-625.39038715411209</v>
      </c>
      <c r="X15" s="16">
        <f>'Traffic_Reduced port VMT'!T46</f>
        <v>-625.39038715411209</v>
      </c>
      <c r="Y15" s="16">
        <f>'Traffic_Reduced port VMT'!U46</f>
        <v>-625.39038715411209</v>
      </c>
      <c r="Z15" s="16">
        <f>'Traffic_Reduced port VMT'!V46</f>
        <v>-625.39038715411209</v>
      </c>
      <c r="AA15" s="16">
        <f>'Traffic_Reduced port VMT'!W46</f>
        <v>-625.39038715411209</v>
      </c>
      <c r="AB15" s="16">
        <f>'Traffic_Reduced port VMT'!X46</f>
        <v>-625.39038715411209</v>
      </c>
      <c r="AC15" s="16">
        <f>'Traffic_Reduced port VMT'!Y46</f>
        <v>-625.39038715411209</v>
      </c>
      <c r="AD15" s="16">
        <f>'Traffic_Reduced port VMT'!Z46</f>
        <v>-625.39038715411209</v>
      </c>
      <c r="AE15" s="16">
        <f>'Traffic_Reduced port VMT'!AA46</f>
        <v>-625.39038715411209</v>
      </c>
      <c r="AF15" s="16">
        <f>'Traffic_Reduced port VMT'!AB46</f>
        <v>-625.39038715411209</v>
      </c>
      <c r="AG15" s="16">
        <f>'Traffic_Reduced port VMT'!AC46</f>
        <v>-625.39038715411209</v>
      </c>
      <c r="AH15" s="16">
        <f>'Traffic_Reduced port VMT'!AD46</f>
        <v>-625.39038715411209</v>
      </c>
      <c r="AI15" s="16">
        <f>'Traffic_Reduced port VMT'!AE46</f>
        <v>-625.39038715411209</v>
      </c>
      <c r="AJ15" s="16">
        <f>'Traffic_Reduced port VMT'!AF46</f>
        <v>-625.39038715411209</v>
      </c>
      <c r="AK15" s="16">
        <f>'Traffic_Reduced port VMT'!AG46</f>
        <v>-625.39038715411209</v>
      </c>
      <c r="AL15" s="16">
        <f>'Traffic_Reduced port VMT'!AH46</f>
        <v>-625.39038715411209</v>
      </c>
      <c r="AM15" s="16">
        <f>'Traffic_Reduced port VMT'!AI46</f>
        <v>-625.39038715411209</v>
      </c>
      <c r="AN15" s="16">
        <f>'Traffic_Reduced port VMT'!AJ46</f>
        <v>-625.39038715411209</v>
      </c>
    </row>
    <row r="16" spans="1:45" x14ac:dyDescent="0.3">
      <c r="A16" t="s">
        <v>61</v>
      </c>
      <c r="B16" t="s">
        <v>56</v>
      </c>
      <c r="C16" s="59">
        <f t="shared" si="5"/>
        <v>181.46826939508239</v>
      </c>
      <c r="D16" s="59">
        <f t="shared" si="6"/>
        <v>75.293494573608655</v>
      </c>
      <c r="E16" s="21">
        <f t="shared" si="7"/>
        <v>361.852034316936</v>
      </c>
      <c r="F16" s="21">
        <f t="shared" si="8"/>
        <v>11.672646268288258</v>
      </c>
      <c r="G16" s="16">
        <v>0</v>
      </c>
      <c r="H16" s="16">
        <v>0</v>
      </c>
      <c r="I16" s="16">
        <v>0</v>
      </c>
      <c r="J16" s="16">
        <f>'Traffic_Reduced port VMT'!F47</f>
        <v>8.4175391275051528</v>
      </c>
      <c r="K16" s="16">
        <f>'Traffic_Reduced port VMT'!G47</f>
        <v>16.835078255010306</v>
      </c>
      <c r="L16" s="16">
        <f>'Traffic_Reduced port VMT'!H47</f>
        <v>11.185555627394027</v>
      </c>
      <c r="M16" s="16">
        <f>'Traffic_Reduced port VMT'!I47</f>
        <v>5.2540589943727269</v>
      </c>
      <c r="N16" s="16">
        <f>'Traffic_Reduced port VMT'!J47</f>
        <v>-0.97443981155561565</v>
      </c>
      <c r="O16" s="16">
        <f>'Traffic_Reduced port VMT'!K47</f>
        <v>-7.5156099697769996</v>
      </c>
      <c r="P16" s="16">
        <f>'Traffic_Reduced port VMT'!L47</f>
        <v>-14.378710540837664</v>
      </c>
      <c r="Q16" s="16">
        <f>'Traffic_Reduced port VMT'!M47</f>
        <v>-15.861479416627001</v>
      </c>
      <c r="R16" s="16">
        <f>'Traffic_Reduced port VMT'!N47</f>
        <v>-15.861479416627001</v>
      </c>
      <c r="S16" s="16">
        <f>'Traffic_Reduced port VMT'!O47</f>
        <v>-15.861479416627001</v>
      </c>
      <c r="T16" s="16">
        <f>'Traffic_Reduced port VMT'!P47</f>
        <v>-15.861479416627001</v>
      </c>
      <c r="U16" s="16">
        <f>'Traffic_Reduced port VMT'!Q47</f>
        <v>-15.861479416627001</v>
      </c>
      <c r="V16" s="16">
        <f>'Traffic_Reduced port VMT'!R47</f>
        <v>-15.861479416627001</v>
      </c>
      <c r="W16" s="16">
        <f>'Traffic_Reduced port VMT'!S47</f>
        <v>-15.861479416627001</v>
      </c>
      <c r="X16" s="16">
        <f>'Traffic_Reduced port VMT'!T47</f>
        <v>-15.861479416627001</v>
      </c>
      <c r="Y16" s="16">
        <f>'Traffic_Reduced port VMT'!U47</f>
        <v>-15.861479416627001</v>
      </c>
      <c r="Z16" s="16">
        <f>'Traffic_Reduced port VMT'!V47</f>
        <v>-15.861479416627001</v>
      </c>
      <c r="AA16" s="16">
        <f>'Traffic_Reduced port VMT'!W47</f>
        <v>-15.861479416627001</v>
      </c>
      <c r="AB16" s="16">
        <f>'Traffic_Reduced port VMT'!X47</f>
        <v>-15.861479416627001</v>
      </c>
      <c r="AC16" s="16">
        <f>'Traffic_Reduced port VMT'!Y47</f>
        <v>-15.861479416627001</v>
      </c>
      <c r="AD16" s="16">
        <f>'Traffic_Reduced port VMT'!Z47</f>
        <v>-15.861479416627001</v>
      </c>
      <c r="AE16" s="16">
        <f>'Traffic_Reduced port VMT'!AA47</f>
        <v>-15.861479416627001</v>
      </c>
      <c r="AF16" s="16">
        <f>'Traffic_Reduced port VMT'!AB47</f>
        <v>-15.861479416627001</v>
      </c>
      <c r="AG16" s="16">
        <f>'Traffic_Reduced port VMT'!AC47</f>
        <v>-15.861479416627001</v>
      </c>
      <c r="AH16" s="16">
        <f>'Traffic_Reduced port VMT'!AD47</f>
        <v>-15.861479416627001</v>
      </c>
      <c r="AI16" s="16">
        <f>'Traffic_Reduced port VMT'!AE47</f>
        <v>-15.861479416627001</v>
      </c>
      <c r="AJ16" s="16">
        <f>'Traffic_Reduced port VMT'!AF47</f>
        <v>-15.861479416627001</v>
      </c>
      <c r="AK16" s="16">
        <f>'Traffic_Reduced port VMT'!AG47</f>
        <v>-15.861479416627001</v>
      </c>
      <c r="AL16" s="16">
        <f>'Traffic_Reduced port VMT'!AH47</f>
        <v>-15.861479416627001</v>
      </c>
      <c r="AM16" s="16">
        <f>'Traffic_Reduced port VMT'!AI47</f>
        <v>-15.861479416627001</v>
      </c>
      <c r="AN16" s="16">
        <f>'Traffic_Reduced port VMT'!AJ47</f>
        <v>-15.861479416627001</v>
      </c>
    </row>
    <row r="17" spans="1:45" s="14" customFormat="1" ht="15" thickBot="1" x14ac:dyDescent="0.35">
      <c r="A17" s="63" t="s">
        <v>62</v>
      </c>
      <c r="B17" s="63"/>
      <c r="C17" s="98">
        <f>SUM(C3:C10,C11:C15)</f>
        <v>140876913.44854426</v>
      </c>
      <c r="D17" s="98">
        <f>SUM(D3:D10,D11:D15)</f>
        <v>73537810.26936689</v>
      </c>
      <c r="E17" s="98">
        <f>SUM(E3:E10,E11:E15)</f>
        <v>249050728.28640053</v>
      </c>
      <c r="F17" s="65">
        <f>F6+F16</f>
        <v>29075.262656194482</v>
      </c>
    </row>
    <row r="18" spans="1:45" ht="15" thickTop="1" x14ac:dyDescent="0.3"/>
    <row r="19" spans="1:45" x14ac:dyDescent="0.3">
      <c r="A19" s="9" t="s">
        <v>63</v>
      </c>
      <c r="B19" s="9" t="s">
        <v>42</v>
      </c>
      <c r="C19" s="9" t="s">
        <v>43</v>
      </c>
      <c r="D19" s="9" t="s">
        <v>44</v>
      </c>
      <c r="E19" s="9" t="s">
        <v>2</v>
      </c>
      <c r="F19" s="9"/>
      <c r="G19" s="9">
        <v>2022</v>
      </c>
      <c r="H19" s="9">
        <v>2023</v>
      </c>
      <c r="I19" s="9">
        <v>2024</v>
      </c>
      <c r="J19" s="9">
        <v>2025</v>
      </c>
      <c r="K19" s="9">
        <v>2026</v>
      </c>
      <c r="L19" s="9">
        <v>2027</v>
      </c>
      <c r="M19" s="9">
        <v>2028</v>
      </c>
      <c r="N19" s="9">
        <v>2029</v>
      </c>
      <c r="O19" s="9">
        <v>2030</v>
      </c>
      <c r="P19" s="9">
        <v>2031</v>
      </c>
      <c r="Q19" s="9">
        <v>2032</v>
      </c>
      <c r="R19" s="9">
        <v>2033</v>
      </c>
      <c r="S19" s="9">
        <v>2034</v>
      </c>
      <c r="T19" s="9">
        <v>2035</v>
      </c>
      <c r="U19" s="9">
        <v>2036</v>
      </c>
      <c r="V19" s="9">
        <v>2037</v>
      </c>
      <c r="W19" s="9">
        <v>2038</v>
      </c>
      <c r="X19" s="9">
        <v>2039</v>
      </c>
      <c r="Y19" s="9">
        <v>2040</v>
      </c>
      <c r="Z19" s="9">
        <v>2041</v>
      </c>
      <c r="AA19" s="9">
        <v>2042</v>
      </c>
      <c r="AB19" s="9">
        <v>2043</v>
      </c>
      <c r="AC19" s="9">
        <v>2044</v>
      </c>
      <c r="AD19" s="9">
        <v>2045</v>
      </c>
      <c r="AE19" s="9">
        <v>2046</v>
      </c>
      <c r="AF19" s="9">
        <v>2047</v>
      </c>
      <c r="AG19" s="9">
        <v>2048</v>
      </c>
      <c r="AH19" s="9">
        <v>2049</v>
      </c>
      <c r="AI19" s="9">
        <v>2050</v>
      </c>
      <c r="AJ19" s="9">
        <v>2051</v>
      </c>
      <c r="AK19" s="9">
        <v>2052</v>
      </c>
      <c r="AL19" s="9">
        <v>2053</v>
      </c>
      <c r="AM19" s="9">
        <v>2054</v>
      </c>
      <c r="AN19" s="9">
        <v>2055</v>
      </c>
      <c r="AO19" s="14"/>
      <c r="AP19" s="14"/>
      <c r="AQ19" s="14"/>
      <c r="AR19" s="14"/>
      <c r="AS19" s="14"/>
    </row>
    <row r="20" spans="1:45" x14ac:dyDescent="0.3">
      <c r="A20" t="s">
        <v>64</v>
      </c>
      <c r="B20" t="s">
        <v>65</v>
      </c>
      <c r="C20" s="21">
        <f>NPV($C$1, G20:AN20)</f>
        <v>14597858.75256734</v>
      </c>
      <c r="D20" s="21">
        <f>NPV($D$1, G20:AN20)</f>
        <v>13190696.615987066</v>
      </c>
      <c r="E20" s="21">
        <f>SUM(G20:AN20)</f>
        <v>15805044.5</v>
      </c>
      <c r="F20" s="21"/>
      <c r="G20" s="21">
        <f>'Updated Project Costs'!B24</f>
        <v>1580504.45</v>
      </c>
      <c r="H20" s="21">
        <f>'Updated Project Costs'!C24</f>
        <v>4741513.3499999996</v>
      </c>
      <c r="I20" s="21">
        <f>'Updated Project Costs'!D24</f>
        <v>6322017.7999999998</v>
      </c>
      <c r="J20" s="21">
        <f>'Updated Project Costs'!E24</f>
        <v>3161008.9</v>
      </c>
      <c r="K20" s="21">
        <f>'Updated Project Costs'!F24</f>
        <v>0</v>
      </c>
      <c r="L20" s="21">
        <f>'Updated Project Costs'!G24</f>
        <v>0</v>
      </c>
      <c r="M20" s="21">
        <f>'Updated Project Costs'!H24</f>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row>
    <row r="21" spans="1:45" x14ac:dyDescent="0.3">
      <c r="A21" t="s">
        <v>66</v>
      </c>
      <c r="B21" t="s">
        <v>67</v>
      </c>
      <c r="C21" s="21">
        <f>NPV($C$1, G21:AN21)</f>
        <v>26372305.401487358</v>
      </c>
      <c r="D21" s="21">
        <f>NPV($D$1, G21:AN21)</f>
        <v>14486907.99543632</v>
      </c>
      <c r="E21" s="21">
        <f>SUM(G21:AN21)</f>
        <v>45155654.105482556</v>
      </c>
      <c r="F21" s="21">
        <f>AVERAGE(J21:AN21)</f>
        <v>1456634.0034026632</v>
      </c>
      <c r="G21">
        <v>0</v>
      </c>
      <c r="H21">
        <v>0</v>
      </c>
      <c r="I21">
        <v>0</v>
      </c>
      <c r="J21" s="21">
        <f>'Air Quality'!D22</f>
        <v>692713.91488500778</v>
      </c>
      <c r="K21" s="3">
        <f>'Air Quality'!E22</f>
        <v>1409261.470036844</v>
      </c>
      <c r="L21" s="3">
        <f>'Air Quality'!F22</f>
        <v>1429437.2216698513</v>
      </c>
      <c r="M21" s="3">
        <f>'Air Quality'!G22</f>
        <v>1449348.0428651986</v>
      </c>
      <c r="N21" s="3">
        <f>'Air Quality'!H22</f>
        <v>1468541.3768611497</v>
      </c>
      <c r="O21" s="3">
        <f>'Air Quality'!I22</f>
        <v>1492313.4913311508</v>
      </c>
      <c r="P21" s="3">
        <f>'Air Quality'!J22</f>
        <v>1487427.6663813428</v>
      </c>
      <c r="Q21" s="3">
        <f>'Air Quality'!K22</f>
        <v>1486474.4893590703</v>
      </c>
      <c r="R21" s="3">
        <f>'Air Quality'!L22</f>
        <v>1486645.2332818513</v>
      </c>
      <c r="S21" s="3">
        <f>'Air Quality'!M22</f>
        <v>1486815.9772046325</v>
      </c>
      <c r="T21" s="3">
        <f>'Air Quality'!N22</f>
        <v>1486986.7211274132</v>
      </c>
      <c r="U21" s="3">
        <f>'Air Quality'!O22</f>
        <v>1487328.2089729754</v>
      </c>
      <c r="V21" s="3">
        <f>'Air Quality'!P22</f>
        <v>1487498.9528957563</v>
      </c>
      <c r="W21" s="3">
        <f>'Air Quality'!Q22</f>
        <v>1487669.6968185373</v>
      </c>
      <c r="X21" s="3">
        <f>'Air Quality'!R22</f>
        <v>1487840.4407413183</v>
      </c>
      <c r="Y21" s="3">
        <f>'Air Quality'!S22</f>
        <v>1488011.1846640995</v>
      </c>
      <c r="Z21" s="3">
        <f>'Air Quality'!T22</f>
        <v>1488181.9285868802</v>
      </c>
      <c r="AA21" s="3">
        <f>'Air Quality'!U22</f>
        <v>1488352.6725096614</v>
      </c>
      <c r="AB21" s="3">
        <f>'Air Quality'!V22</f>
        <v>1488694.1603552233</v>
      </c>
      <c r="AC21" s="3">
        <f>'Air Quality'!W22</f>
        <v>1488864.9042780043</v>
      </c>
      <c r="AD21" s="3">
        <f>'Air Quality'!X22</f>
        <v>1489035.6482007853</v>
      </c>
      <c r="AE21" s="3">
        <f>'Air Quality'!Y22</f>
        <v>1489206.3921235662</v>
      </c>
      <c r="AF21" s="3">
        <f>'Air Quality'!Z22</f>
        <v>1489377.1360463472</v>
      </c>
      <c r="AG21" s="3">
        <f>'Air Quality'!AA22</f>
        <v>1489547.8799691284</v>
      </c>
      <c r="AH21" s="3">
        <f>'Air Quality'!AB22</f>
        <v>1489718.6238919091</v>
      </c>
      <c r="AI21" s="3">
        <f>'Air Quality'!AC22</f>
        <v>1490060.1117374713</v>
      </c>
      <c r="AJ21" s="3">
        <f>'Air Quality'!AD22</f>
        <v>1490060.1117374713</v>
      </c>
      <c r="AK21" s="3">
        <f>'Air Quality'!AE22</f>
        <v>1490060.1117374713</v>
      </c>
      <c r="AL21" s="3">
        <f>'Air Quality'!AF22</f>
        <v>1490060.1117374713</v>
      </c>
      <c r="AM21" s="3">
        <f>'Air Quality'!AG22</f>
        <v>1490060.1117374713</v>
      </c>
      <c r="AN21" s="3">
        <f>'Air Quality'!AH22</f>
        <v>1490060.1117374713</v>
      </c>
    </row>
    <row r="22" spans="1:45" s="14" customFormat="1" ht="15" thickBot="1" x14ac:dyDescent="0.35">
      <c r="A22" s="63" t="s">
        <v>18</v>
      </c>
      <c r="B22" s="63"/>
      <c r="C22" s="98">
        <f>SUM(C20:C21)</f>
        <v>40970164.154054701</v>
      </c>
      <c r="D22" s="98">
        <f t="shared" ref="D22:E22" si="9">SUM(D20:D21)</f>
        <v>27677604.611423388</v>
      </c>
      <c r="E22" s="98">
        <f t="shared" si="9"/>
        <v>60960698.605482556</v>
      </c>
      <c r="F22" s="65"/>
    </row>
    <row r="23" spans="1:45" ht="15" thickTop="1" x14ac:dyDescent="0.3"/>
    <row r="29" spans="1:45" x14ac:dyDescent="0.3">
      <c r="A29" s="58"/>
    </row>
    <row r="30" spans="1:45" x14ac:dyDescent="0.3">
      <c r="A30" s="5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6F5D5-E2A2-4BEB-9CAA-14C7F0EE046D}">
  <sheetPr>
    <tabColor theme="7"/>
  </sheetPr>
  <dimension ref="A1:AT32"/>
  <sheetViews>
    <sheetView topLeftCell="K1" workbookViewId="0">
      <selection activeCell="Z22" sqref="Z22"/>
    </sheetView>
  </sheetViews>
  <sheetFormatPr defaultRowHeight="14.4" x14ac:dyDescent="0.3"/>
  <cols>
    <col min="1" max="1" width="41.88671875" bestFit="1" customWidth="1"/>
    <col min="2" max="2" width="27.44140625" bestFit="1" customWidth="1"/>
    <col min="3" max="5" width="21.5546875" customWidth="1"/>
    <col min="6" max="6" width="13.44140625" customWidth="1"/>
    <col min="7" max="7" width="12.33203125" customWidth="1"/>
    <col min="8" max="8" width="11.88671875" customWidth="1"/>
    <col min="9" max="9" width="12" customWidth="1"/>
    <col min="10" max="10" width="14" bestFit="1" customWidth="1"/>
    <col min="11" max="11" width="15.109375" customWidth="1"/>
    <col min="12" max="12" width="16" customWidth="1"/>
    <col min="13" max="13" width="13.5546875" customWidth="1"/>
    <col min="14" max="39" width="13.88671875" bestFit="1" customWidth="1"/>
    <col min="40" max="40" width="13.88671875" customWidth="1"/>
    <col min="41" max="45" width="12.44140625" bestFit="1" customWidth="1"/>
  </cols>
  <sheetData>
    <row r="1" spans="1:46" x14ac:dyDescent="0.3">
      <c r="C1" s="27">
        <v>0.03</v>
      </c>
      <c r="D1" s="27">
        <v>7.0000000000000007E-2</v>
      </c>
      <c r="K1">
        <v>1</v>
      </c>
      <c r="L1">
        <f>K1+1</f>
        <v>2</v>
      </c>
      <c r="M1">
        <f t="shared" ref="M1:AN1" si="0">L1+1</f>
        <v>3</v>
      </c>
      <c r="N1">
        <f t="shared" si="0"/>
        <v>4</v>
      </c>
      <c r="O1">
        <f t="shared" si="0"/>
        <v>5</v>
      </c>
      <c r="P1">
        <f t="shared" si="0"/>
        <v>6</v>
      </c>
      <c r="Q1">
        <f t="shared" si="0"/>
        <v>7</v>
      </c>
      <c r="R1">
        <f t="shared" si="0"/>
        <v>8</v>
      </c>
      <c r="S1">
        <f t="shared" si="0"/>
        <v>9</v>
      </c>
      <c r="T1">
        <f t="shared" si="0"/>
        <v>10</v>
      </c>
      <c r="U1">
        <f t="shared" si="0"/>
        <v>11</v>
      </c>
      <c r="V1">
        <f t="shared" si="0"/>
        <v>12</v>
      </c>
      <c r="W1">
        <f t="shared" si="0"/>
        <v>13</v>
      </c>
      <c r="X1">
        <f t="shared" si="0"/>
        <v>14</v>
      </c>
      <c r="Y1">
        <f t="shared" si="0"/>
        <v>15</v>
      </c>
      <c r="Z1">
        <f t="shared" si="0"/>
        <v>16</v>
      </c>
      <c r="AA1">
        <f t="shared" si="0"/>
        <v>17</v>
      </c>
      <c r="AB1">
        <f t="shared" si="0"/>
        <v>18</v>
      </c>
      <c r="AC1">
        <f t="shared" si="0"/>
        <v>19</v>
      </c>
      <c r="AD1">
        <f t="shared" si="0"/>
        <v>20</v>
      </c>
      <c r="AE1">
        <f t="shared" si="0"/>
        <v>21</v>
      </c>
      <c r="AF1">
        <f t="shared" si="0"/>
        <v>22</v>
      </c>
      <c r="AG1">
        <f t="shared" si="0"/>
        <v>23</v>
      </c>
      <c r="AH1">
        <f t="shared" si="0"/>
        <v>24</v>
      </c>
      <c r="AI1">
        <f t="shared" si="0"/>
        <v>25</v>
      </c>
      <c r="AJ1">
        <f t="shared" si="0"/>
        <v>26</v>
      </c>
      <c r="AK1">
        <f t="shared" si="0"/>
        <v>27</v>
      </c>
      <c r="AL1">
        <f t="shared" si="0"/>
        <v>28</v>
      </c>
      <c r="AM1">
        <f t="shared" si="0"/>
        <v>29</v>
      </c>
      <c r="AN1">
        <f t="shared" si="0"/>
        <v>30</v>
      </c>
    </row>
    <row r="2" spans="1:46" x14ac:dyDescent="0.3">
      <c r="A2" s="9" t="s">
        <v>41</v>
      </c>
      <c r="B2" s="9" t="s">
        <v>42</v>
      </c>
      <c r="C2" s="9" t="s">
        <v>43</v>
      </c>
      <c r="D2" s="9" t="s">
        <v>44</v>
      </c>
      <c r="E2" s="9" t="s">
        <v>2</v>
      </c>
      <c r="F2" s="9" t="s">
        <v>45</v>
      </c>
      <c r="G2" s="9">
        <v>2022</v>
      </c>
      <c r="H2" s="9">
        <v>2023</v>
      </c>
      <c r="I2" s="9">
        <v>2024</v>
      </c>
      <c r="J2" s="9">
        <v>2025</v>
      </c>
      <c r="K2" s="9">
        <v>2026</v>
      </c>
      <c r="L2" s="9">
        <v>2027</v>
      </c>
      <c r="M2" s="9">
        <v>2028</v>
      </c>
      <c r="N2" s="9">
        <v>2029</v>
      </c>
      <c r="O2" s="9">
        <v>2030</v>
      </c>
      <c r="P2" s="9">
        <v>2031</v>
      </c>
      <c r="Q2" s="9">
        <v>2032</v>
      </c>
      <c r="R2" s="9">
        <v>2033</v>
      </c>
      <c r="S2" s="9">
        <v>2034</v>
      </c>
      <c r="T2" s="9">
        <v>2035</v>
      </c>
      <c r="U2" s="9">
        <v>2036</v>
      </c>
      <c r="V2" s="9">
        <v>2037</v>
      </c>
      <c r="W2" s="9">
        <v>2038</v>
      </c>
      <c r="X2" s="9">
        <v>2039</v>
      </c>
      <c r="Y2" s="9">
        <v>2040</v>
      </c>
      <c r="Z2" s="9">
        <v>2041</v>
      </c>
      <c r="AA2" s="9">
        <v>2042</v>
      </c>
      <c r="AB2" s="9">
        <v>2043</v>
      </c>
      <c r="AC2" s="9">
        <v>2044</v>
      </c>
      <c r="AD2" s="9">
        <v>2045</v>
      </c>
      <c r="AE2" s="9">
        <v>2046</v>
      </c>
      <c r="AF2" s="9">
        <v>2047</v>
      </c>
      <c r="AG2" s="9">
        <v>2048</v>
      </c>
      <c r="AH2" s="9">
        <v>2049</v>
      </c>
      <c r="AI2" s="9">
        <v>2050</v>
      </c>
      <c r="AJ2" s="9">
        <v>2051</v>
      </c>
      <c r="AK2" s="9">
        <v>2052</v>
      </c>
      <c r="AL2" s="9">
        <v>2053</v>
      </c>
      <c r="AM2" s="9">
        <v>2054</v>
      </c>
      <c r="AN2" s="9">
        <v>2055</v>
      </c>
      <c r="AO2" s="14"/>
      <c r="AP2" s="14"/>
      <c r="AQ2" s="14"/>
      <c r="AR2" s="14"/>
      <c r="AS2" s="14"/>
      <c r="AT2" s="14"/>
    </row>
    <row r="3" spans="1:46" x14ac:dyDescent="0.3">
      <c r="A3" t="s">
        <v>46</v>
      </c>
      <c r="B3" t="s">
        <v>47</v>
      </c>
      <c r="C3" s="59">
        <f t="shared" ref="C3:C10" si="1">NPV($C$1, G3:AN3)</f>
        <v>4458373.104103799</v>
      </c>
      <c r="D3" s="59">
        <f>NPV($D$1, G3:AN3)</f>
        <v>2285272.4497474418</v>
      </c>
      <c r="E3" s="21">
        <f>SUM(G3:AN3)</f>
        <v>7997045.2648400571</v>
      </c>
      <c r="F3" s="21">
        <f>AVERAGE(J3:AN3)</f>
        <v>257969.20209161474</v>
      </c>
      <c r="G3" s="16">
        <f>'Traffic_Reduced highway VMT'!F56</f>
        <v>0</v>
      </c>
      <c r="H3" s="16">
        <f>'Traffic_Reduced highway VMT'!G56</f>
        <v>0</v>
      </c>
      <c r="I3" s="16">
        <f>'Traffic_Reduced highway VMT'!H56</f>
        <v>0</v>
      </c>
      <c r="J3" s="16">
        <f>'Traffic_Reduced highway VMT'!I56</f>
        <v>22129.369453074432</v>
      </c>
      <c r="K3" s="16">
        <f>'Traffic_Reduced highway VMT'!J56</f>
        <v>45025.475928077823</v>
      </c>
      <c r="L3" s="16">
        <f>'Traffic_Reduced highway VMT'!K56</f>
        <v>122117.29097146292</v>
      </c>
      <c r="M3" s="16">
        <f>'Traffic_Reduced highway VMT'!L56</f>
        <v>187702.32392137009</v>
      </c>
      <c r="N3" s="16">
        <f>'Traffic_Reduced highway VMT'!M56</f>
        <v>222613.74327743787</v>
      </c>
      <c r="O3" s="16">
        <f>'Traffic_Reduced highway VMT'!N56</f>
        <v>258904.5453839752</v>
      </c>
      <c r="P3" s="16">
        <f>'Traffic_Reduced highway VMT'!O56</f>
        <v>260812.67971436284</v>
      </c>
      <c r="Q3" s="16">
        <f>'Traffic_Reduced highway VMT'!P56</f>
        <v>262720.81404475047</v>
      </c>
      <c r="R3" s="16">
        <f>'Traffic_Reduced highway VMT'!Q56</f>
        <v>264628.9483751381</v>
      </c>
      <c r="S3" s="16">
        <f>'Traffic_Reduced highway VMT'!R56</f>
        <v>266537.08270552568</v>
      </c>
      <c r="T3" s="16">
        <f>'Traffic_Reduced highway VMT'!S56</f>
        <v>268445.21703591332</v>
      </c>
      <c r="U3" s="16">
        <f>'Traffic_Reduced highway VMT'!T56</f>
        <v>272261.48569668853</v>
      </c>
      <c r="V3" s="16">
        <f>'Traffic_Reduced highway VMT'!U56</f>
        <v>274169.62002707616</v>
      </c>
      <c r="W3" s="16">
        <f>'Traffic_Reduced highway VMT'!V56</f>
        <v>276077.7543574638</v>
      </c>
      <c r="X3" s="16">
        <f>'Traffic_Reduced highway VMT'!W56</f>
        <v>277985.88868785143</v>
      </c>
      <c r="Y3" s="16">
        <f>'Traffic_Reduced highway VMT'!X56</f>
        <v>279894.02301823901</v>
      </c>
      <c r="Z3" s="16">
        <f>'Traffic_Reduced highway VMT'!Y56</f>
        <v>281802.15734862664</v>
      </c>
      <c r="AA3" s="16">
        <f>'Traffic_Reduced highway VMT'!Z56</f>
        <v>283710.29167901428</v>
      </c>
      <c r="AB3" s="16">
        <f>'Traffic_Reduced highway VMT'!AA56</f>
        <v>287526.56033978949</v>
      </c>
      <c r="AC3" s="16">
        <f>'Traffic_Reduced highway VMT'!AB56</f>
        <v>289434.69467017712</v>
      </c>
      <c r="AD3" s="16">
        <f>'Traffic_Reduced highway VMT'!AC56</f>
        <v>291342.82900056476</v>
      </c>
      <c r="AE3" s="16">
        <f>'Traffic_Reduced highway VMT'!AD56</f>
        <v>293250.96333095239</v>
      </c>
      <c r="AF3" s="16">
        <f>'Traffic_Reduced highway VMT'!AE56</f>
        <v>295159.09766133997</v>
      </c>
      <c r="AG3" s="16">
        <f>'Traffic_Reduced highway VMT'!AF56</f>
        <v>297067.2319917276</v>
      </c>
      <c r="AH3" s="16">
        <f>'Traffic_Reduced highway VMT'!AG56</f>
        <v>298975.36632211524</v>
      </c>
      <c r="AI3" s="16">
        <f>'Traffic_Reduced highway VMT'!AH56</f>
        <v>302791.63498289045</v>
      </c>
      <c r="AJ3" s="16">
        <f>'Traffic_Reduced highway VMT'!AI56</f>
        <v>302791.63498289045</v>
      </c>
      <c r="AK3" s="16">
        <f>'Traffic_Reduced highway VMT'!AJ56</f>
        <v>302791.63498289045</v>
      </c>
      <c r="AL3" s="16">
        <f>'Traffic_Reduced highway VMT'!AK56</f>
        <v>302791.63498289045</v>
      </c>
      <c r="AM3" s="16">
        <f>'Traffic_Reduced highway VMT'!AL56</f>
        <v>302791.63498289045</v>
      </c>
      <c r="AN3" s="16">
        <f>'Traffic_Reduced highway VMT'!AM56</f>
        <v>302791.63498289045</v>
      </c>
      <c r="AO3" s="16"/>
      <c r="AP3" s="16"/>
      <c r="AQ3" s="16"/>
      <c r="AR3" s="16"/>
      <c r="AS3" s="16"/>
      <c r="AT3" s="16"/>
    </row>
    <row r="4" spans="1:46" x14ac:dyDescent="0.3">
      <c r="A4" t="s">
        <v>48</v>
      </c>
      <c r="B4" t="s">
        <v>47</v>
      </c>
      <c r="C4" s="59">
        <f t="shared" si="1"/>
        <v>11258419.246085402</v>
      </c>
      <c r="D4" s="59">
        <f t="shared" ref="D4:D10" si="2">NPV($D$1, G4:AN4)</f>
        <v>5880739.2342866128</v>
      </c>
      <c r="E4" s="21">
        <f>SUM(G4:AN4)</f>
        <v>19893011.919693984</v>
      </c>
      <c r="F4" s="21">
        <f t="shared" ref="F4:F10" si="3">AVERAGE(J4:AN4)</f>
        <v>641710.06192561239</v>
      </c>
      <c r="G4" s="16">
        <f>'Traffic_Reduced highway VMT'!F53</f>
        <v>0</v>
      </c>
      <c r="H4" s="16">
        <f>'Traffic_Reduced highway VMT'!G53</f>
        <v>0</v>
      </c>
      <c r="I4" s="16">
        <f>'Traffic_Reduced highway VMT'!H53</f>
        <v>0</v>
      </c>
      <c r="J4" s="16">
        <f>'Traffic_Reduced highway VMT'!I53</f>
        <v>65653.504685458684</v>
      </c>
      <c r="K4" s="16">
        <f>'Traffic_Reduced highway VMT'!J53</f>
        <v>131307.00937091737</v>
      </c>
      <c r="L4" s="16">
        <f>'Traffic_Reduced highway VMT'!K53</f>
        <v>350152.02498911292</v>
      </c>
      <c r="M4" s="16">
        <f>'Traffic_Reduced highway VMT'!L53</f>
        <v>525228.03748366947</v>
      </c>
      <c r="N4" s="16">
        <f>'Traffic_Reduced highway VMT'!M53</f>
        <v>612766.04373094765</v>
      </c>
      <c r="O4" s="16">
        <f>'Traffic_Reduced highway VMT'!N53</f>
        <v>700304.04997822584</v>
      </c>
      <c r="P4" s="16">
        <f>'Traffic_Reduced highway VMT'!O53</f>
        <v>700304.04997822584</v>
      </c>
      <c r="Q4" s="16">
        <f>'Traffic_Reduced highway VMT'!P53</f>
        <v>700304.04997822584</v>
      </c>
      <c r="R4" s="16">
        <f>'Traffic_Reduced highway VMT'!Q53</f>
        <v>700304.04997822584</v>
      </c>
      <c r="S4" s="16">
        <f>'Traffic_Reduced highway VMT'!R53</f>
        <v>700304.04997822584</v>
      </c>
      <c r="T4" s="16">
        <f>'Traffic_Reduced highway VMT'!S53</f>
        <v>700304.04997822584</v>
      </c>
      <c r="U4" s="16">
        <f>'Traffic_Reduced highway VMT'!T53</f>
        <v>700304.04997822584</v>
      </c>
      <c r="V4" s="16">
        <f>'Traffic_Reduced highway VMT'!U53</f>
        <v>700304.04997822584</v>
      </c>
      <c r="W4" s="16">
        <f>'Traffic_Reduced highway VMT'!V53</f>
        <v>700304.04997822584</v>
      </c>
      <c r="X4" s="16">
        <f>'Traffic_Reduced highway VMT'!W53</f>
        <v>700304.04997822584</v>
      </c>
      <c r="Y4" s="16">
        <f>'Traffic_Reduced highway VMT'!X53</f>
        <v>700304.04997822584</v>
      </c>
      <c r="Z4" s="16">
        <f>'Traffic_Reduced highway VMT'!Y53</f>
        <v>700304.04997822584</v>
      </c>
      <c r="AA4" s="16">
        <f>'Traffic_Reduced highway VMT'!Z53</f>
        <v>700304.04997822584</v>
      </c>
      <c r="AB4" s="16">
        <f>'Traffic_Reduced highway VMT'!AA53</f>
        <v>700304.04997822584</v>
      </c>
      <c r="AC4" s="16">
        <f>'Traffic_Reduced highway VMT'!AB53</f>
        <v>700304.04997822584</v>
      </c>
      <c r="AD4" s="16">
        <f>'Traffic_Reduced highway VMT'!AC53</f>
        <v>700304.04997822584</v>
      </c>
      <c r="AE4" s="16">
        <f>'Traffic_Reduced highway VMT'!AD53</f>
        <v>700304.04997822584</v>
      </c>
      <c r="AF4" s="16">
        <f>'Traffic_Reduced highway VMT'!AE53</f>
        <v>700304.04997822584</v>
      </c>
      <c r="AG4" s="16">
        <f>'Traffic_Reduced highway VMT'!AF53</f>
        <v>700304.04997822584</v>
      </c>
      <c r="AH4" s="16">
        <f>'Traffic_Reduced highway VMT'!AG53</f>
        <v>700304.04997822584</v>
      </c>
      <c r="AI4" s="16">
        <f>'Traffic_Reduced highway VMT'!AH53</f>
        <v>700304.04997822584</v>
      </c>
      <c r="AJ4" s="16">
        <f>'Traffic_Reduced highway VMT'!AI53</f>
        <v>700304.04997822584</v>
      </c>
      <c r="AK4" s="16">
        <f>'Traffic_Reduced highway VMT'!AJ53</f>
        <v>700304.04997822584</v>
      </c>
      <c r="AL4" s="16">
        <f>'Traffic_Reduced highway VMT'!AK53</f>
        <v>700304.04997822584</v>
      </c>
      <c r="AM4" s="16">
        <f>'Traffic_Reduced highway VMT'!AL53</f>
        <v>700304.04997822584</v>
      </c>
      <c r="AN4" s="16">
        <f>'Traffic_Reduced highway VMT'!AM53</f>
        <v>700304.04997822584</v>
      </c>
      <c r="AO4" s="16"/>
      <c r="AP4" s="16"/>
      <c r="AQ4" s="16"/>
      <c r="AR4" s="16"/>
      <c r="AS4" s="16"/>
      <c r="AT4" s="16"/>
    </row>
    <row r="5" spans="1:46" x14ac:dyDescent="0.3">
      <c r="A5" t="s">
        <v>49</v>
      </c>
      <c r="B5" t="s">
        <v>47</v>
      </c>
      <c r="C5" s="59">
        <f t="shared" si="1"/>
        <v>20104595.331688523</v>
      </c>
      <c r="D5" s="59">
        <f t="shared" si="2"/>
        <v>10501463.835398134</v>
      </c>
      <c r="E5" s="21">
        <f>SUM(G5:AN5)</f>
        <v>35523721.921526864</v>
      </c>
      <c r="F5" s="21">
        <f t="shared" si="3"/>
        <v>1145926.5135976407</v>
      </c>
      <c r="G5" s="16">
        <f>'Traffic_Reduced highway VMT'!F54</f>
        <v>0</v>
      </c>
      <c r="H5" s="16">
        <f>'Traffic_Reduced highway VMT'!G54</f>
        <v>0</v>
      </c>
      <c r="I5" s="16">
        <f>'Traffic_Reduced highway VMT'!H54</f>
        <v>0</v>
      </c>
      <c r="J5" s="16">
        <f>'Traffic_Reduced highway VMT'!I54</f>
        <v>117240.00634167281</v>
      </c>
      <c r="K5" s="16">
        <f>'Traffic_Reduced highway VMT'!J54</f>
        <v>234480.01268334562</v>
      </c>
      <c r="L5" s="16">
        <f>'Traffic_Reduced highway VMT'!K54</f>
        <v>625280.03382225486</v>
      </c>
      <c r="M5" s="16">
        <f>'Traffic_Reduced highway VMT'!L54</f>
        <v>937920.05073338246</v>
      </c>
      <c r="N5" s="16">
        <f>'Traffic_Reduced highway VMT'!M54</f>
        <v>1094240.0591889462</v>
      </c>
      <c r="O5" s="16">
        <f>'Traffic_Reduced highway VMT'!N54</f>
        <v>1250560.0676445097</v>
      </c>
      <c r="P5" s="16">
        <f>'Traffic_Reduced highway VMT'!O54</f>
        <v>1250560.0676445097</v>
      </c>
      <c r="Q5" s="16">
        <f>'Traffic_Reduced highway VMT'!P54</f>
        <v>1250560.0676445097</v>
      </c>
      <c r="R5" s="16">
        <f>'Traffic_Reduced highway VMT'!Q54</f>
        <v>1250560.0676445097</v>
      </c>
      <c r="S5" s="16">
        <f>'Traffic_Reduced highway VMT'!R54</f>
        <v>1250560.0676445097</v>
      </c>
      <c r="T5" s="16">
        <f>'Traffic_Reduced highway VMT'!S54</f>
        <v>1250560.0676445097</v>
      </c>
      <c r="U5" s="16">
        <f>'Traffic_Reduced highway VMT'!T54</f>
        <v>1250560.0676445097</v>
      </c>
      <c r="V5" s="16">
        <f>'Traffic_Reduced highway VMT'!U54</f>
        <v>1250560.0676445097</v>
      </c>
      <c r="W5" s="16">
        <f>'Traffic_Reduced highway VMT'!V54</f>
        <v>1250560.0676445097</v>
      </c>
      <c r="X5" s="16">
        <f>'Traffic_Reduced highway VMT'!W54</f>
        <v>1250560.0676445097</v>
      </c>
      <c r="Y5" s="16">
        <f>'Traffic_Reduced highway VMT'!X54</f>
        <v>1250560.0676445097</v>
      </c>
      <c r="Z5" s="16">
        <f>'Traffic_Reduced highway VMT'!Y54</f>
        <v>1250560.0676445097</v>
      </c>
      <c r="AA5" s="16">
        <f>'Traffic_Reduced highway VMT'!Z54</f>
        <v>1250560.0676445097</v>
      </c>
      <c r="AB5" s="16">
        <f>'Traffic_Reduced highway VMT'!AA54</f>
        <v>1250560.0676445097</v>
      </c>
      <c r="AC5" s="16">
        <f>'Traffic_Reduced highway VMT'!AB54</f>
        <v>1250560.0676445097</v>
      </c>
      <c r="AD5" s="16">
        <f>'Traffic_Reduced highway VMT'!AC54</f>
        <v>1250560.0676445097</v>
      </c>
      <c r="AE5" s="16">
        <f>'Traffic_Reduced highway VMT'!AD54</f>
        <v>1250560.0676445097</v>
      </c>
      <c r="AF5" s="16">
        <f>'Traffic_Reduced highway VMT'!AE54</f>
        <v>1250560.0676445097</v>
      </c>
      <c r="AG5" s="16">
        <f>'Traffic_Reduced highway VMT'!AF54</f>
        <v>1250560.0676445097</v>
      </c>
      <c r="AH5" s="16">
        <f>'Traffic_Reduced highway VMT'!AG54</f>
        <v>1250560.0676445097</v>
      </c>
      <c r="AI5" s="16">
        <f>'Traffic_Reduced highway VMT'!AH54</f>
        <v>1250560.0676445097</v>
      </c>
      <c r="AJ5" s="16">
        <f>'Traffic_Reduced highway VMT'!AI54</f>
        <v>1250560.0676445097</v>
      </c>
      <c r="AK5" s="16">
        <f>'Traffic_Reduced highway VMT'!AJ54</f>
        <v>1250560.0676445097</v>
      </c>
      <c r="AL5" s="16">
        <f>'Traffic_Reduced highway VMT'!AK54</f>
        <v>1250560.0676445097</v>
      </c>
      <c r="AM5" s="16">
        <f>'Traffic_Reduced highway VMT'!AL54</f>
        <v>1250560.0676445097</v>
      </c>
      <c r="AN5" s="16">
        <f>'Traffic_Reduced highway VMT'!AM54</f>
        <v>1250560.0676445097</v>
      </c>
      <c r="AO5" s="16"/>
      <c r="AP5" s="16"/>
      <c r="AQ5" s="16"/>
      <c r="AR5" s="16"/>
      <c r="AS5" s="16"/>
      <c r="AT5" s="16"/>
    </row>
    <row r="6" spans="1:46" x14ac:dyDescent="0.3">
      <c r="A6" t="s">
        <v>50</v>
      </c>
      <c r="B6" t="s">
        <v>47</v>
      </c>
      <c r="C6" s="59">
        <f t="shared" si="1"/>
        <v>509903.30453322222</v>
      </c>
      <c r="D6" s="59">
        <f t="shared" si="2"/>
        <v>266343.64053404226</v>
      </c>
      <c r="E6" s="21">
        <f>SUM(G6:AN6)</f>
        <v>900971.29030771193</v>
      </c>
      <c r="F6" s="21">
        <f t="shared" si="3"/>
        <v>29063.590009926193</v>
      </c>
      <c r="G6" s="16">
        <f>'Traffic_Reduced highway VMT'!F55</f>
        <v>0</v>
      </c>
      <c r="H6" s="16">
        <f>'Traffic_Reduced highway VMT'!G55</f>
        <v>0</v>
      </c>
      <c r="I6" s="16">
        <f>'Traffic_Reduced highway VMT'!H55</f>
        <v>0</v>
      </c>
      <c r="J6" s="16">
        <f>'Traffic_Reduced highway VMT'!I55</f>
        <v>2973.5026082762752</v>
      </c>
      <c r="K6" s="16">
        <f>'Traffic_Reduced highway VMT'!J55</f>
        <v>5947.0052165525503</v>
      </c>
      <c r="L6" s="16">
        <f>'Traffic_Reduced highway VMT'!K55</f>
        <v>15858.680577473469</v>
      </c>
      <c r="M6" s="16">
        <f>'Traffic_Reduced highway VMT'!L55</f>
        <v>23788.020866210201</v>
      </c>
      <c r="N6" s="16">
        <f>'Traffic_Reduced highway VMT'!M55</f>
        <v>27752.691010578572</v>
      </c>
      <c r="O6" s="16">
        <f>'Traffic_Reduced highway VMT'!N55</f>
        <v>31717.361154946939</v>
      </c>
      <c r="P6" s="16">
        <f>'Traffic_Reduced highway VMT'!O55</f>
        <v>31717.361154946939</v>
      </c>
      <c r="Q6" s="16">
        <f>'Traffic_Reduced highway VMT'!P55</f>
        <v>31717.361154946939</v>
      </c>
      <c r="R6" s="16">
        <f>'Traffic_Reduced highway VMT'!Q55</f>
        <v>31717.361154946939</v>
      </c>
      <c r="S6" s="16">
        <f>'Traffic_Reduced highway VMT'!R55</f>
        <v>31717.361154946939</v>
      </c>
      <c r="T6" s="16">
        <f>'Traffic_Reduced highway VMT'!S55</f>
        <v>31717.361154946939</v>
      </c>
      <c r="U6" s="16">
        <f>'Traffic_Reduced highway VMT'!T55</f>
        <v>31717.361154946939</v>
      </c>
      <c r="V6" s="16">
        <f>'Traffic_Reduced highway VMT'!U55</f>
        <v>31717.361154946939</v>
      </c>
      <c r="W6" s="16">
        <f>'Traffic_Reduced highway VMT'!V55</f>
        <v>31717.361154946939</v>
      </c>
      <c r="X6" s="16">
        <f>'Traffic_Reduced highway VMT'!W55</f>
        <v>31717.361154946939</v>
      </c>
      <c r="Y6" s="16">
        <f>'Traffic_Reduced highway VMT'!X55</f>
        <v>31717.361154946939</v>
      </c>
      <c r="Z6" s="16">
        <f>'Traffic_Reduced highway VMT'!Y55</f>
        <v>31717.361154946939</v>
      </c>
      <c r="AA6" s="16">
        <f>'Traffic_Reduced highway VMT'!Z55</f>
        <v>31717.361154946939</v>
      </c>
      <c r="AB6" s="16">
        <f>'Traffic_Reduced highway VMT'!AA55</f>
        <v>31717.361154946939</v>
      </c>
      <c r="AC6" s="16">
        <f>'Traffic_Reduced highway VMT'!AB55</f>
        <v>31717.361154946939</v>
      </c>
      <c r="AD6" s="16">
        <f>'Traffic_Reduced highway VMT'!AC55</f>
        <v>31717.361154946939</v>
      </c>
      <c r="AE6" s="16">
        <f>'Traffic_Reduced highway VMT'!AD55</f>
        <v>31717.361154946939</v>
      </c>
      <c r="AF6" s="16">
        <f>'Traffic_Reduced highway VMT'!AE55</f>
        <v>31717.361154946939</v>
      </c>
      <c r="AG6" s="16">
        <f>'Traffic_Reduced highway VMT'!AF55</f>
        <v>31717.361154946939</v>
      </c>
      <c r="AH6" s="16">
        <f>'Traffic_Reduced highway VMT'!AG55</f>
        <v>31717.361154946939</v>
      </c>
      <c r="AI6" s="16">
        <f>'Traffic_Reduced highway VMT'!AH55</f>
        <v>31717.361154946939</v>
      </c>
      <c r="AJ6" s="16">
        <f>'Traffic_Reduced highway VMT'!AI55</f>
        <v>31717.361154946939</v>
      </c>
      <c r="AK6" s="16">
        <f>'Traffic_Reduced highway VMT'!AJ55</f>
        <v>31717.361154946939</v>
      </c>
      <c r="AL6" s="16">
        <f>'Traffic_Reduced highway VMT'!AK55</f>
        <v>31717.361154946939</v>
      </c>
      <c r="AM6" s="16">
        <f>'Traffic_Reduced highway VMT'!AL55</f>
        <v>31717.361154946939</v>
      </c>
      <c r="AN6" s="16">
        <f>'Traffic_Reduced highway VMT'!AM55</f>
        <v>31717.361154946939</v>
      </c>
      <c r="AO6" s="16"/>
      <c r="AP6" s="16"/>
      <c r="AQ6" s="16"/>
      <c r="AR6" s="16"/>
      <c r="AS6" s="16"/>
      <c r="AT6" s="16"/>
    </row>
    <row r="7" spans="1:46" s="74" customFormat="1" x14ac:dyDescent="0.3">
      <c r="A7" s="74" t="s">
        <v>68</v>
      </c>
      <c r="B7" s="74" t="s">
        <v>47</v>
      </c>
      <c r="C7" s="59">
        <f t="shared" si="1"/>
        <v>227400018.57103726</v>
      </c>
      <c r="D7" s="59">
        <f t="shared" si="2"/>
        <v>118382159.84527214</v>
      </c>
      <c r="E7" s="59">
        <f>SUM(G7:AT7)</f>
        <v>402563095.16949135</v>
      </c>
      <c r="F7" s="21">
        <f t="shared" si="3"/>
        <v>12985906.295790043</v>
      </c>
      <c r="G7" s="16">
        <f>'Traffic_Reduced highway VMT'!F57</f>
        <v>0</v>
      </c>
      <c r="H7" s="16">
        <f>'Traffic_Reduced highway VMT'!G57</f>
        <v>0</v>
      </c>
      <c r="I7" s="16">
        <f>'Traffic_Reduced highway VMT'!H57</f>
        <v>0</v>
      </c>
      <c r="J7" s="16">
        <f>'Traffic_Reduced highway VMT'!I57</f>
        <v>0</v>
      </c>
      <c r="K7" s="16">
        <f>'Traffic_Reduced highway VMT'!J57</f>
        <v>2665980.762711864</v>
      </c>
      <c r="L7" s="16">
        <f>'Traffic_Reduced highway VMT'!K57</f>
        <v>7109282.0338983042</v>
      </c>
      <c r="M7" s="16">
        <f>'Traffic_Reduced highway VMT'!L57</f>
        <v>10663923.050847456</v>
      </c>
      <c r="N7" s="16">
        <f>'Traffic_Reduced highway VMT'!M57</f>
        <v>12441243.559322033</v>
      </c>
      <c r="O7" s="16">
        <f>'Traffic_Reduced highway VMT'!N57</f>
        <v>14218564.067796608</v>
      </c>
      <c r="P7" s="16">
        <f>'Traffic_Reduced highway VMT'!O57</f>
        <v>14218564.067796608</v>
      </c>
      <c r="Q7" s="16">
        <f>'Traffic_Reduced highway VMT'!P57</f>
        <v>14218564.067796608</v>
      </c>
      <c r="R7" s="16">
        <f>'Traffic_Reduced highway VMT'!Q57</f>
        <v>14218564.067796608</v>
      </c>
      <c r="S7" s="16">
        <f>'Traffic_Reduced highway VMT'!R57</f>
        <v>14218564.067796608</v>
      </c>
      <c r="T7" s="16">
        <f>'Traffic_Reduced highway VMT'!S57</f>
        <v>14218564.067796608</v>
      </c>
      <c r="U7" s="16">
        <f>'Traffic_Reduced highway VMT'!T57</f>
        <v>14218564.067796608</v>
      </c>
      <c r="V7" s="16">
        <f>'Traffic_Reduced highway VMT'!U57</f>
        <v>14218564.067796608</v>
      </c>
      <c r="W7" s="16">
        <f>'Traffic_Reduced highway VMT'!V57</f>
        <v>14218564.067796608</v>
      </c>
      <c r="X7" s="16">
        <f>'Traffic_Reduced highway VMT'!W57</f>
        <v>14218564.067796608</v>
      </c>
      <c r="Y7" s="16">
        <f>'Traffic_Reduced highway VMT'!X57</f>
        <v>14218564.067796608</v>
      </c>
      <c r="Z7" s="16">
        <f>'Traffic_Reduced highway VMT'!Y57</f>
        <v>14218564.067796608</v>
      </c>
      <c r="AA7" s="16">
        <f>'Traffic_Reduced highway VMT'!Z57</f>
        <v>14218564.067796608</v>
      </c>
      <c r="AB7" s="16">
        <f>'Traffic_Reduced highway VMT'!AA57</f>
        <v>14218564.067796608</v>
      </c>
      <c r="AC7" s="16">
        <f>'Traffic_Reduced highway VMT'!AB57</f>
        <v>14218564.067796608</v>
      </c>
      <c r="AD7" s="16">
        <f>'Traffic_Reduced highway VMT'!AC57</f>
        <v>14218564.067796608</v>
      </c>
      <c r="AE7" s="16">
        <f>'Traffic_Reduced highway VMT'!AD57</f>
        <v>14218564.067796608</v>
      </c>
      <c r="AF7" s="16">
        <f>'Traffic_Reduced highway VMT'!AE57</f>
        <v>14218564.067796608</v>
      </c>
      <c r="AG7" s="16">
        <f>'Traffic_Reduced highway VMT'!AF57</f>
        <v>14218564.067796608</v>
      </c>
      <c r="AH7" s="16">
        <f>'Traffic_Reduced highway VMT'!AG57</f>
        <v>14218564.067796608</v>
      </c>
      <c r="AI7" s="16">
        <f>'Traffic_Reduced highway VMT'!AH57</f>
        <v>14218564.067796608</v>
      </c>
      <c r="AJ7" s="16">
        <f>'Traffic_Reduced highway VMT'!AI57</f>
        <v>14218564.067796608</v>
      </c>
      <c r="AK7" s="16">
        <f>'Traffic_Reduced highway VMT'!AJ57</f>
        <v>14218564.067796608</v>
      </c>
      <c r="AL7" s="16">
        <f>'Traffic_Reduced highway VMT'!AK57</f>
        <v>14218564.067796608</v>
      </c>
      <c r="AM7" s="16">
        <f>'Traffic_Reduced highway VMT'!AL57</f>
        <v>14218564.067796608</v>
      </c>
      <c r="AN7" s="16">
        <f>'Traffic_Reduced highway VMT'!AM57</f>
        <v>14218564.067796608</v>
      </c>
      <c r="AO7" s="75"/>
      <c r="AP7" s="75"/>
      <c r="AQ7" s="75"/>
      <c r="AR7" s="75"/>
      <c r="AS7" s="75"/>
      <c r="AT7" s="75"/>
    </row>
    <row r="8" spans="1:46" s="74" customFormat="1" x14ac:dyDescent="0.3">
      <c r="A8" t="s">
        <v>52</v>
      </c>
      <c r="B8" s="74" t="s">
        <v>47</v>
      </c>
      <c r="C8" s="59">
        <f t="shared" si="1"/>
        <v>1495838.081519268</v>
      </c>
      <c r="D8" s="59">
        <f t="shared" si="2"/>
        <v>781338.25911563903</v>
      </c>
      <c r="E8" s="59">
        <f t="shared" ref="E8:E9" si="4">SUM(G8:AT8)</f>
        <v>2643064.1935759764</v>
      </c>
      <c r="F8" s="21">
        <f t="shared" si="3"/>
        <v>85260.135276644403</v>
      </c>
      <c r="G8" s="16">
        <f>'Traffic_Reduced highway VMT'!F58</f>
        <v>0</v>
      </c>
      <c r="H8" s="16">
        <f>'Traffic_Reduced highway VMT'!G58</f>
        <v>0</v>
      </c>
      <c r="I8" s="16">
        <f>'Traffic_Reduced highway VMT'!H58</f>
        <v>0</v>
      </c>
      <c r="J8" s="16">
        <f>'Traffic_Reduced highway VMT'!I58</f>
        <v>8722.9841372144419</v>
      </c>
      <c r="K8" s="16">
        <f>'Traffic_Reduced highway VMT'!J58</f>
        <v>17445.968274428884</v>
      </c>
      <c r="L8" s="16">
        <f>'Traffic_Reduced highway VMT'!K58</f>
        <v>46522.582065143695</v>
      </c>
      <c r="M8" s="16">
        <f>'Traffic_Reduced highway VMT'!L58</f>
        <v>69783.873097715536</v>
      </c>
      <c r="N8" s="16">
        <f>'Traffic_Reduced highway VMT'!M58</f>
        <v>81414.51861400147</v>
      </c>
      <c r="O8" s="16">
        <f>'Traffic_Reduced highway VMT'!N58</f>
        <v>93045.16413028739</v>
      </c>
      <c r="P8" s="16">
        <f>'Traffic_Reduced highway VMT'!O58</f>
        <v>93045.16413028739</v>
      </c>
      <c r="Q8" s="16">
        <f>'Traffic_Reduced highway VMT'!P58</f>
        <v>93045.16413028739</v>
      </c>
      <c r="R8" s="16">
        <f>'Traffic_Reduced highway VMT'!Q58</f>
        <v>93045.16413028739</v>
      </c>
      <c r="S8" s="16">
        <f>'Traffic_Reduced highway VMT'!R58</f>
        <v>93045.16413028739</v>
      </c>
      <c r="T8" s="16">
        <f>'Traffic_Reduced highway VMT'!S58</f>
        <v>93045.16413028739</v>
      </c>
      <c r="U8" s="16">
        <f>'Traffic_Reduced highway VMT'!T58</f>
        <v>93045.16413028739</v>
      </c>
      <c r="V8" s="16">
        <f>'Traffic_Reduced highway VMT'!U58</f>
        <v>93045.16413028739</v>
      </c>
      <c r="W8" s="16">
        <f>'Traffic_Reduced highway VMT'!V58</f>
        <v>93045.16413028739</v>
      </c>
      <c r="X8" s="16">
        <f>'Traffic_Reduced highway VMT'!W58</f>
        <v>93045.16413028739</v>
      </c>
      <c r="Y8" s="16">
        <f>'Traffic_Reduced highway VMT'!X58</f>
        <v>93045.16413028739</v>
      </c>
      <c r="Z8" s="16">
        <f>'Traffic_Reduced highway VMT'!Y58</f>
        <v>93045.16413028739</v>
      </c>
      <c r="AA8" s="16">
        <f>'Traffic_Reduced highway VMT'!Z58</f>
        <v>93045.16413028739</v>
      </c>
      <c r="AB8" s="16">
        <f>'Traffic_Reduced highway VMT'!AA58</f>
        <v>93045.16413028739</v>
      </c>
      <c r="AC8" s="16">
        <f>'Traffic_Reduced highway VMT'!AB58</f>
        <v>93045.16413028739</v>
      </c>
      <c r="AD8" s="16">
        <f>'Traffic_Reduced highway VMT'!AC58</f>
        <v>93045.16413028739</v>
      </c>
      <c r="AE8" s="16">
        <f>'Traffic_Reduced highway VMT'!AD58</f>
        <v>93045.16413028739</v>
      </c>
      <c r="AF8" s="16">
        <f>'Traffic_Reduced highway VMT'!AE58</f>
        <v>93045.16413028739</v>
      </c>
      <c r="AG8" s="16">
        <f>'Traffic_Reduced highway VMT'!AF58</f>
        <v>93045.16413028739</v>
      </c>
      <c r="AH8" s="16">
        <f>'Traffic_Reduced highway VMT'!AG58</f>
        <v>93045.16413028739</v>
      </c>
      <c r="AI8" s="16">
        <f>'Traffic_Reduced highway VMT'!AH58</f>
        <v>93045.16413028739</v>
      </c>
      <c r="AJ8" s="16">
        <f>'Traffic_Reduced highway VMT'!AI58</f>
        <v>93045.16413028739</v>
      </c>
      <c r="AK8" s="16">
        <f>'Traffic_Reduced highway VMT'!AJ58</f>
        <v>93045.16413028739</v>
      </c>
      <c r="AL8" s="16">
        <f>'Traffic_Reduced highway VMT'!AK58</f>
        <v>93045.16413028739</v>
      </c>
      <c r="AM8" s="16">
        <f>'Traffic_Reduced highway VMT'!AL58</f>
        <v>93045.16413028739</v>
      </c>
      <c r="AN8" s="16">
        <f>'Traffic_Reduced highway VMT'!AM58</f>
        <v>93045.16413028739</v>
      </c>
      <c r="AO8" s="75"/>
      <c r="AP8" s="75"/>
      <c r="AQ8" s="75"/>
      <c r="AR8" s="75"/>
      <c r="AS8" s="75"/>
      <c r="AT8" s="75"/>
    </row>
    <row r="9" spans="1:46" s="74" customFormat="1" x14ac:dyDescent="0.3">
      <c r="A9" t="s">
        <v>53</v>
      </c>
      <c r="B9" s="74" t="s">
        <v>47</v>
      </c>
      <c r="C9" s="59">
        <f t="shared" si="1"/>
        <v>16097343.821425619</v>
      </c>
      <c r="D9" s="59">
        <f t="shared" si="2"/>
        <v>8408310.1996200755</v>
      </c>
      <c r="E9" s="59">
        <f t="shared" si="4"/>
        <v>28443127.362340443</v>
      </c>
      <c r="F9" s="21">
        <f t="shared" si="3"/>
        <v>917520.23749485298</v>
      </c>
      <c r="G9" s="16">
        <f>'Traffic_Reduced highway VMT'!F59</f>
        <v>0</v>
      </c>
      <c r="H9" s="16">
        <f>'Traffic_Reduced highway VMT'!G59</f>
        <v>0</v>
      </c>
      <c r="I9" s="16">
        <f>'Traffic_Reduced highway VMT'!H59</f>
        <v>0</v>
      </c>
      <c r="J9" s="16">
        <f>'Traffic_Reduced highway VMT'!I59</f>
        <v>93871.70746647015</v>
      </c>
      <c r="K9" s="16">
        <f>'Traffic_Reduced highway VMT'!J59</f>
        <v>187743.4149329403</v>
      </c>
      <c r="L9" s="16">
        <f>'Traffic_Reduced highway VMT'!K59</f>
        <v>500649.10648784076</v>
      </c>
      <c r="M9" s="16">
        <f>'Traffic_Reduced highway VMT'!L59</f>
        <v>750973.6597317612</v>
      </c>
      <c r="N9" s="16">
        <f>'Traffic_Reduced highway VMT'!M59</f>
        <v>876135.93635372142</v>
      </c>
      <c r="O9" s="16">
        <f>'Traffic_Reduced highway VMT'!N59</f>
        <v>1001298.2129756815</v>
      </c>
      <c r="P9" s="16">
        <f>'Traffic_Reduced highway VMT'!O59</f>
        <v>1001298.2129756815</v>
      </c>
      <c r="Q9" s="16">
        <f>'Traffic_Reduced highway VMT'!P59</f>
        <v>1001298.2129756815</v>
      </c>
      <c r="R9" s="16">
        <f>'Traffic_Reduced highway VMT'!Q59</f>
        <v>1001298.2129756815</v>
      </c>
      <c r="S9" s="16">
        <f>'Traffic_Reduced highway VMT'!R59</f>
        <v>1001298.2129756815</v>
      </c>
      <c r="T9" s="16">
        <f>'Traffic_Reduced highway VMT'!S59</f>
        <v>1001298.2129756815</v>
      </c>
      <c r="U9" s="16">
        <f>'Traffic_Reduced highway VMT'!T59</f>
        <v>1001298.2129756815</v>
      </c>
      <c r="V9" s="16">
        <f>'Traffic_Reduced highway VMT'!U59</f>
        <v>1001298.2129756815</v>
      </c>
      <c r="W9" s="16">
        <f>'Traffic_Reduced highway VMT'!V59</f>
        <v>1001298.2129756815</v>
      </c>
      <c r="X9" s="16">
        <f>'Traffic_Reduced highway VMT'!W59</f>
        <v>1001298.2129756815</v>
      </c>
      <c r="Y9" s="16">
        <f>'Traffic_Reduced highway VMT'!X59</f>
        <v>1001298.2129756815</v>
      </c>
      <c r="Z9" s="16">
        <f>'Traffic_Reduced highway VMT'!Y59</f>
        <v>1001298.2129756815</v>
      </c>
      <c r="AA9" s="16">
        <f>'Traffic_Reduced highway VMT'!Z59</f>
        <v>1001298.2129756815</v>
      </c>
      <c r="AB9" s="16">
        <f>'Traffic_Reduced highway VMT'!AA59</f>
        <v>1001298.2129756815</v>
      </c>
      <c r="AC9" s="16">
        <f>'Traffic_Reduced highway VMT'!AB59</f>
        <v>1001298.2129756815</v>
      </c>
      <c r="AD9" s="16">
        <f>'Traffic_Reduced highway VMT'!AC59</f>
        <v>1001298.2129756815</v>
      </c>
      <c r="AE9" s="16">
        <f>'Traffic_Reduced highway VMT'!AD59</f>
        <v>1001298.2129756815</v>
      </c>
      <c r="AF9" s="16">
        <f>'Traffic_Reduced highway VMT'!AE59</f>
        <v>1001298.2129756815</v>
      </c>
      <c r="AG9" s="16">
        <f>'Traffic_Reduced highway VMT'!AF59</f>
        <v>1001298.2129756815</v>
      </c>
      <c r="AH9" s="16">
        <f>'Traffic_Reduced highway VMT'!AG59</f>
        <v>1001298.2129756815</v>
      </c>
      <c r="AI9" s="16">
        <f>'Traffic_Reduced highway VMT'!AH59</f>
        <v>1001298.2129756815</v>
      </c>
      <c r="AJ9" s="16">
        <f>'Traffic_Reduced highway VMT'!AI59</f>
        <v>1001298.2129756815</v>
      </c>
      <c r="AK9" s="16">
        <f>'Traffic_Reduced highway VMT'!AJ59</f>
        <v>1001298.2129756815</v>
      </c>
      <c r="AL9" s="16">
        <f>'Traffic_Reduced highway VMT'!AK59</f>
        <v>1001298.2129756815</v>
      </c>
      <c r="AM9" s="16">
        <f>'Traffic_Reduced highway VMT'!AL59</f>
        <v>1001298.2129756815</v>
      </c>
      <c r="AN9" s="16">
        <f>'Traffic_Reduced highway VMT'!AM59</f>
        <v>1001298.2129756815</v>
      </c>
      <c r="AO9" s="75"/>
      <c r="AP9" s="75"/>
      <c r="AQ9" s="75"/>
      <c r="AR9" s="75"/>
      <c r="AS9" s="75"/>
      <c r="AT9" s="75"/>
    </row>
    <row r="10" spans="1:46" s="74" customFormat="1" x14ac:dyDescent="0.3">
      <c r="A10" t="s">
        <v>54</v>
      </c>
      <c r="B10" s="74" t="s">
        <v>47</v>
      </c>
      <c r="C10" s="59">
        <f t="shared" si="1"/>
        <v>4555852.0249317791</v>
      </c>
      <c r="D10" s="59">
        <f t="shared" si="2"/>
        <v>2379710.4338547373</v>
      </c>
      <c r="E10" s="59">
        <f t="shared" ref="E10" si="5">SUM(G10:AT10)</f>
        <v>8049941.7063227715</v>
      </c>
      <c r="F10" s="21">
        <f t="shared" si="3"/>
        <v>259675.53891363778</v>
      </c>
      <c r="G10" s="16">
        <f>'Traffic_Reduced highway VMT'!F60</f>
        <v>0</v>
      </c>
      <c r="H10" s="16">
        <f>'Traffic_Reduced highway VMT'!G60</f>
        <v>0</v>
      </c>
      <c r="I10" s="16">
        <f>'Traffic_Reduced highway VMT'!H60</f>
        <v>0</v>
      </c>
      <c r="J10" s="16">
        <f>'Traffic_Reduced highway VMT'!I60</f>
        <v>26567.464377302873</v>
      </c>
      <c r="K10" s="16">
        <f>'Traffic_Reduced highway VMT'!J60</f>
        <v>53134.928754605746</v>
      </c>
      <c r="L10" s="16">
        <f>'Traffic_Reduced highway VMT'!K60</f>
        <v>141693.1433456153</v>
      </c>
      <c r="M10" s="16">
        <f>'Traffic_Reduced highway VMT'!L60</f>
        <v>212539.71501842298</v>
      </c>
      <c r="N10" s="16">
        <f>'Traffic_Reduced highway VMT'!M60</f>
        <v>247963.00085482682</v>
      </c>
      <c r="O10" s="16">
        <f>'Traffic_Reduced highway VMT'!N60</f>
        <v>283386.28669123061</v>
      </c>
      <c r="P10" s="16">
        <f>'Traffic_Reduced highway VMT'!O60</f>
        <v>283386.28669123061</v>
      </c>
      <c r="Q10" s="16">
        <f>'Traffic_Reduced highway VMT'!P60</f>
        <v>283386.28669123061</v>
      </c>
      <c r="R10" s="16">
        <f>'Traffic_Reduced highway VMT'!Q60</f>
        <v>283386.28669123061</v>
      </c>
      <c r="S10" s="16">
        <f>'Traffic_Reduced highway VMT'!R60</f>
        <v>283386.28669123061</v>
      </c>
      <c r="T10" s="16">
        <f>'Traffic_Reduced highway VMT'!S60</f>
        <v>283386.28669123061</v>
      </c>
      <c r="U10" s="16">
        <f>'Traffic_Reduced highway VMT'!T60</f>
        <v>283386.28669123061</v>
      </c>
      <c r="V10" s="16">
        <f>'Traffic_Reduced highway VMT'!U60</f>
        <v>283386.28669123061</v>
      </c>
      <c r="W10" s="16">
        <f>'Traffic_Reduced highway VMT'!V60</f>
        <v>283386.28669123061</v>
      </c>
      <c r="X10" s="16">
        <f>'Traffic_Reduced highway VMT'!W60</f>
        <v>283386.28669123061</v>
      </c>
      <c r="Y10" s="16">
        <f>'Traffic_Reduced highway VMT'!X60</f>
        <v>283386.28669123061</v>
      </c>
      <c r="Z10" s="16">
        <f>'Traffic_Reduced highway VMT'!Y60</f>
        <v>283386.28669123061</v>
      </c>
      <c r="AA10" s="16">
        <f>'Traffic_Reduced highway VMT'!Z60</f>
        <v>283386.28669123061</v>
      </c>
      <c r="AB10" s="16">
        <f>'Traffic_Reduced highway VMT'!AA60</f>
        <v>283386.28669123061</v>
      </c>
      <c r="AC10" s="16">
        <f>'Traffic_Reduced highway VMT'!AB60</f>
        <v>283386.28669123061</v>
      </c>
      <c r="AD10" s="16">
        <f>'Traffic_Reduced highway VMT'!AC60</f>
        <v>283386.28669123061</v>
      </c>
      <c r="AE10" s="16">
        <f>'Traffic_Reduced highway VMT'!AD60</f>
        <v>283386.28669123061</v>
      </c>
      <c r="AF10" s="16">
        <f>'Traffic_Reduced highway VMT'!AE60</f>
        <v>283386.28669123061</v>
      </c>
      <c r="AG10" s="16">
        <f>'Traffic_Reduced highway VMT'!AF60</f>
        <v>283386.28669123061</v>
      </c>
      <c r="AH10" s="16">
        <f>'Traffic_Reduced highway VMT'!AG60</f>
        <v>283386.28669123061</v>
      </c>
      <c r="AI10" s="16">
        <f>'Traffic_Reduced highway VMT'!AH60</f>
        <v>283386.28669123061</v>
      </c>
      <c r="AJ10" s="16">
        <f>'Traffic_Reduced highway VMT'!AI60</f>
        <v>283386.28669123061</v>
      </c>
      <c r="AK10" s="16">
        <f>'Traffic_Reduced highway VMT'!AJ60</f>
        <v>283386.28669123061</v>
      </c>
      <c r="AL10" s="16">
        <f>'Traffic_Reduced highway VMT'!AK60</f>
        <v>283386.28669123061</v>
      </c>
      <c r="AM10" s="16">
        <f>'Traffic_Reduced highway VMT'!AL60</f>
        <v>283386.28669123061</v>
      </c>
      <c r="AN10" s="16">
        <f>'Traffic_Reduced highway VMT'!AM60</f>
        <v>283386.28669123061</v>
      </c>
      <c r="AO10" s="75"/>
      <c r="AP10" s="75"/>
      <c r="AQ10" s="75"/>
      <c r="AR10" s="75"/>
      <c r="AS10" s="75"/>
      <c r="AT10" s="75"/>
    </row>
    <row r="11" spans="1:46" x14ac:dyDescent="0.3">
      <c r="A11" t="s">
        <v>55</v>
      </c>
      <c r="B11" t="s">
        <v>56</v>
      </c>
      <c r="C11" s="59">
        <f t="shared" ref="C11:C16" si="6">-NPV($C$1, G11:AN11)</f>
        <v>25401.483664332372</v>
      </c>
      <c r="D11" s="59">
        <f>-NPV($D$1, G11:AN11)</f>
        <v>10539.39886470228</v>
      </c>
      <c r="E11" s="21">
        <f t="shared" ref="E11:E16" si="7">-SUM(G11:AT11)</f>
        <v>50651.161050066054</v>
      </c>
      <c r="F11" s="21">
        <f>-AVERAGE(J11:AN11)</f>
        <v>1633.9084209698726</v>
      </c>
      <c r="G11" s="16">
        <v>0</v>
      </c>
      <c r="H11" s="16">
        <v>0</v>
      </c>
      <c r="I11" s="16">
        <v>0</v>
      </c>
      <c r="J11" s="16">
        <f>'Traffic_Reduced port VMT'!F42</f>
        <v>1178.2665</v>
      </c>
      <c r="K11" s="16">
        <f>'Traffic_Reduced port VMT'!G42</f>
        <v>2356.5329999999999</v>
      </c>
      <c r="L11" s="16">
        <f>'Traffic_Reduced port VMT'!H42</f>
        <v>1565.7266666666642</v>
      </c>
      <c r="M11" s="16">
        <f>'Traffic_Reduced port VMT'!I42</f>
        <v>735.45030303030012</v>
      </c>
      <c r="N11" s="16">
        <f>'Traffic_Reduced port VMT'!J42</f>
        <v>-136.39969696969987</v>
      </c>
      <c r="O11" s="16">
        <f>'Traffic_Reduced port VMT'!K42</f>
        <v>-1052.0166666666712</v>
      </c>
      <c r="P11" s="16">
        <f>'Traffic_Reduced port VMT'!L42</f>
        <v>-2012.696666666671</v>
      </c>
      <c r="Q11" s="16">
        <f>'Traffic_Reduced port VMT'!M42</f>
        <v>-2220.2510203941661</v>
      </c>
      <c r="R11" s="16">
        <f>'Traffic_Reduced port VMT'!N42</f>
        <v>-2220.2510203941661</v>
      </c>
      <c r="S11" s="16">
        <f>'Traffic_Reduced port VMT'!O42</f>
        <v>-2220.2510203941661</v>
      </c>
      <c r="T11" s="16">
        <f>'Traffic_Reduced port VMT'!P42</f>
        <v>-2220.2510203941661</v>
      </c>
      <c r="U11" s="16">
        <f>'Traffic_Reduced port VMT'!Q42</f>
        <v>-2220.2510203941661</v>
      </c>
      <c r="V11" s="16">
        <f>'Traffic_Reduced port VMT'!R42</f>
        <v>-2220.2510203941661</v>
      </c>
      <c r="W11" s="16">
        <f>'Traffic_Reduced port VMT'!S42</f>
        <v>-2220.2510203941661</v>
      </c>
      <c r="X11" s="16">
        <f>'Traffic_Reduced port VMT'!T42</f>
        <v>-2220.2510203941661</v>
      </c>
      <c r="Y11" s="16">
        <f>'Traffic_Reduced port VMT'!U42</f>
        <v>-2220.2510203941661</v>
      </c>
      <c r="Z11" s="16">
        <f>'Traffic_Reduced port VMT'!V42</f>
        <v>-2220.2510203941661</v>
      </c>
      <c r="AA11" s="16">
        <f>'Traffic_Reduced port VMT'!W42</f>
        <v>-2220.2510203941661</v>
      </c>
      <c r="AB11" s="16">
        <f>'Traffic_Reduced port VMT'!X42</f>
        <v>-2220.2510203941661</v>
      </c>
      <c r="AC11" s="16">
        <f>'Traffic_Reduced port VMT'!Y42</f>
        <v>-2220.2510203941661</v>
      </c>
      <c r="AD11" s="16">
        <f>'Traffic_Reduced port VMT'!Z42</f>
        <v>-2220.2510203941661</v>
      </c>
      <c r="AE11" s="16">
        <f>'Traffic_Reduced port VMT'!AA42</f>
        <v>-2220.2510203941661</v>
      </c>
      <c r="AF11" s="16">
        <f>'Traffic_Reduced port VMT'!AB42</f>
        <v>-2220.2510203941661</v>
      </c>
      <c r="AG11" s="16">
        <f>'Traffic_Reduced port VMT'!AC42</f>
        <v>-2220.2510203941661</v>
      </c>
      <c r="AH11" s="16">
        <f>'Traffic_Reduced port VMT'!AD42</f>
        <v>-2220.2510203941661</v>
      </c>
      <c r="AI11" s="16">
        <f>'Traffic_Reduced port VMT'!AE42</f>
        <v>-2220.2510203941661</v>
      </c>
      <c r="AJ11" s="16">
        <f>'Traffic_Reduced port VMT'!AF42</f>
        <v>-2220.2510203941661</v>
      </c>
      <c r="AK11" s="16">
        <f>'Traffic_Reduced port VMT'!AG42</f>
        <v>-2220.2510203941661</v>
      </c>
      <c r="AL11" s="16">
        <f>'Traffic_Reduced port VMT'!AH42</f>
        <v>-2220.2510203941661</v>
      </c>
      <c r="AM11" s="16">
        <f>'Traffic_Reduced port VMT'!AI42</f>
        <v>-2220.2510203941661</v>
      </c>
      <c r="AN11" s="16">
        <f>'Traffic_Reduced port VMT'!AJ42</f>
        <v>-2220.2510203941661</v>
      </c>
    </row>
    <row r="12" spans="1:46" x14ac:dyDescent="0.3">
      <c r="A12" t="s">
        <v>57</v>
      </c>
      <c r="B12" t="s">
        <v>56</v>
      </c>
      <c r="C12" s="59">
        <f t="shared" si="6"/>
        <v>3907.4427060075977</v>
      </c>
      <c r="D12" s="59">
        <f t="shared" ref="D12:D16" si="8">-NPV($D$1, G12:AN12)</f>
        <v>1621.247709928524</v>
      </c>
      <c r="E12" s="21">
        <f t="shared" si="7"/>
        <v>7791.5334557328333</v>
      </c>
      <c r="F12" s="21">
        <f t="shared" ref="F12:F16" si="9">-AVERAGE(J12:AN12)</f>
        <v>251.33978889460752</v>
      </c>
      <c r="G12" s="16">
        <v>0</v>
      </c>
      <c r="H12" s="16">
        <v>0</v>
      </c>
      <c r="I12" s="16">
        <v>0</v>
      </c>
      <c r="J12" s="16">
        <f>'Traffic_Reduced port VMT'!F43</f>
        <v>181.24960344827585</v>
      </c>
      <c r="K12" s="16">
        <f>'Traffic_Reduced port VMT'!G43</f>
        <v>362.4992068965517</v>
      </c>
      <c r="L12" s="16">
        <f>'Traffic_Reduced port VMT'!H43</f>
        <v>240.85157088122571</v>
      </c>
      <c r="M12" s="16">
        <f>'Traffic_Reduced port VMT'!I43</f>
        <v>113.13236502960596</v>
      </c>
      <c r="N12" s="16">
        <f>'Traffic_Reduced port VMT'!J43</f>
        <v>-20.982002786485992</v>
      </c>
      <c r="O12" s="16">
        <f>'Traffic_Reduced port VMT'!K43</f>
        <v>-161.82892720306583</v>
      </c>
      <c r="P12" s="16">
        <f>'Traffic_Reduced port VMT'!L43</f>
        <v>-309.60777777777849</v>
      </c>
      <c r="Q12" s="16">
        <f>'Traffic_Reduced port VMT'!M43</f>
        <v>-341.53531225921512</v>
      </c>
      <c r="R12" s="16">
        <f>'Traffic_Reduced port VMT'!N43</f>
        <v>-341.53531225921512</v>
      </c>
      <c r="S12" s="16">
        <f>'Traffic_Reduced port VMT'!O43</f>
        <v>-341.53531225921512</v>
      </c>
      <c r="T12" s="16">
        <f>'Traffic_Reduced port VMT'!P43</f>
        <v>-341.53531225921512</v>
      </c>
      <c r="U12" s="16">
        <f>'Traffic_Reduced port VMT'!Q43</f>
        <v>-341.53531225921512</v>
      </c>
      <c r="V12" s="16">
        <f>'Traffic_Reduced port VMT'!R43</f>
        <v>-341.53531225921512</v>
      </c>
      <c r="W12" s="16">
        <f>'Traffic_Reduced port VMT'!S43</f>
        <v>-341.53531225921512</v>
      </c>
      <c r="X12" s="16">
        <f>'Traffic_Reduced port VMT'!T43</f>
        <v>-341.53531225921512</v>
      </c>
      <c r="Y12" s="16">
        <f>'Traffic_Reduced port VMT'!U43</f>
        <v>-341.53531225921512</v>
      </c>
      <c r="Z12" s="16">
        <f>'Traffic_Reduced port VMT'!V43</f>
        <v>-341.53531225921512</v>
      </c>
      <c r="AA12" s="16">
        <f>'Traffic_Reduced port VMT'!W43</f>
        <v>-341.53531225921512</v>
      </c>
      <c r="AB12" s="16">
        <f>'Traffic_Reduced port VMT'!X43</f>
        <v>-341.53531225921512</v>
      </c>
      <c r="AC12" s="16">
        <f>'Traffic_Reduced port VMT'!Y43</f>
        <v>-341.53531225921512</v>
      </c>
      <c r="AD12" s="16">
        <f>'Traffic_Reduced port VMT'!Z43</f>
        <v>-341.53531225921512</v>
      </c>
      <c r="AE12" s="16">
        <f>'Traffic_Reduced port VMT'!AA43</f>
        <v>-341.53531225921512</v>
      </c>
      <c r="AF12" s="16">
        <f>'Traffic_Reduced port VMT'!AB43</f>
        <v>-341.53531225921512</v>
      </c>
      <c r="AG12" s="16">
        <f>'Traffic_Reduced port VMT'!AC43</f>
        <v>-341.53531225921512</v>
      </c>
      <c r="AH12" s="16">
        <f>'Traffic_Reduced port VMT'!AD43</f>
        <v>-341.53531225921512</v>
      </c>
      <c r="AI12" s="16">
        <f>'Traffic_Reduced port VMT'!AE43</f>
        <v>-341.53531225921512</v>
      </c>
      <c r="AJ12" s="16">
        <f>'Traffic_Reduced port VMT'!AF43</f>
        <v>-341.53531225921512</v>
      </c>
      <c r="AK12" s="16">
        <f>'Traffic_Reduced port VMT'!AG43</f>
        <v>-341.53531225921512</v>
      </c>
      <c r="AL12" s="16">
        <f>'Traffic_Reduced port VMT'!AH43</f>
        <v>-341.53531225921512</v>
      </c>
      <c r="AM12" s="16">
        <f>'Traffic_Reduced port VMT'!AI43</f>
        <v>-341.53531225921512</v>
      </c>
      <c r="AN12" s="16">
        <f>'Traffic_Reduced port VMT'!AJ43</f>
        <v>-341.53531225921512</v>
      </c>
    </row>
    <row r="13" spans="1:46" x14ac:dyDescent="0.3">
      <c r="A13" t="s">
        <v>58</v>
      </c>
      <c r="B13" t="s">
        <v>56</v>
      </c>
      <c r="C13" s="59">
        <f t="shared" si="6"/>
        <v>1674.0158907822608</v>
      </c>
      <c r="D13" s="59">
        <f t="shared" si="8"/>
        <v>699.33604154836451</v>
      </c>
      <c r="E13" s="21">
        <f t="shared" si="7"/>
        <v>3340.7376024365549</v>
      </c>
      <c r="F13" s="21">
        <f t="shared" si="9"/>
        <v>107.76572911085661</v>
      </c>
      <c r="G13" s="16">
        <v>0</v>
      </c>
      <c r="H13" s="16">
        <v>0</v>
      </c>
      <c r="I13" s="16">
        <v>0</v>
      </c>
      <c r="J13" s="16">
        <f>'Traffic_Reduced port VMT'!F44</f>
        <v>62.644920075000002</v>
      </c>
      <c r="K13" s="16">
        <f>'Traffic_Reduced port VMT'!G44</f>
        <v>132.83926937999999</v>
      </c>
      <c r="L13" s="16">
        <f>'Traffic_Reduced port VMT'!H44</f>
        <v>89.723133799999857</v>
      </c>
      <c r="M13" s="16">
        <f>'Traffic_Reduced port VMT'!I44</f>
        <v>42.888175618181648</v>
      </c>
      <c r="N13" s="16">
        <f>'Traffic_Reduced port VMT'!J44</f>
        <v>-8.0128437303032012</v>
      </c>
      <c r="O13" s="16">
        <f>'Traffic_Reduced port VMT'!K44</f>
        <v>-62.253198166666934</v>
      </c>
      <c r="P13" s="16">
        <f>'Traffic_Reduced port VMT'!L44</f>
        <v>-119.96657070000026</v>
      </c>
      <c r="Q13" s="16">
        <f>'Traffic_Reduced port VMT'!M44</f>
        <v>-133.2920614186126</v>
      </c>
      <c r="R13" s="16">
        <f>'Traffic_Reduced port VMT'!N44</f>
        <v>-134.24629696354793</v>
      </c>
      <c r="S13" s="16">
        <f>'Traffic_Reduced port VMT'!O44</f>
        <v>-136.15476805341871</v>
      </c>
      <c r="T13" s="16">
        <f>'Traffic_Reduced port VMT'!P44</f>
        <v>-137.10900359835404</v>
      </c>
      <c r="U13" s="16">
        <f>'Traffic_Reduced port VMT'!Q44</f>
        <v>-138.06323914328942</v>
      </c>
      <c r="V13" s="16">
        <f>'Traffic_Reduced port VMT'!R44</f>
        <v>-139.01747468822481</v>
      </c>
      <c r="W13" s="16">
        <f>'Traffic_Reduced port VMT'!S44</f>
        <v>-139.97171023316014</v>
      </c>
      <c r="X13" s="16">
        <f>'Traffic_Reduced port VMT'!T44</f>
        <v>-140.92594577809552</v>
      </c>
      <c r="Y13" s="16">
        <f>'Traffic_Reduced port VMT'!U44</f>
        <v>-141.88018132303085</v>
      </c>
      <c r="Z13" s="16">
        <f>'Traffic_Reduced port VMT'!V44</f>
        <v>-143.78865241290163</v>
      </c>
      <c r="AA13" s="16">
        <f>'Traffic_Reduced port VMT'!W44</f>
        <v>-144.74288795783696</v>
      </c>
      <c r="AB13" s="16">
        <f>'Traffic_Reduced port VMT'!X44</f>
        <v>-145.69712350277234</v>
      </c>
      <c r="AC13" s="16">
        <f>'Traffic_Reduced port VMT'!Y44</f>
        <v>-146.65135904770773</v>
      </c>
      <c r="AD13" s="16">
        <f>'Traffic_Reduced port VMT'!Z44</f>
        <v>-147.60559459264306</v>
      </c>
      <c r="AE13" s="16">
        <f>'Traffic_Reduced port VMT'!AA44</f>
        <v>-148.55983013757844</v>
      </c>
      <c r="AF13" s="16">
        <f>'Traffic_Reduced port VMT'!AB44</f>
        <v>-149.51406568251377</v>
      </c>
      <c r="AG13" s="16">
        <f>'Traffic_Reduced port VMT'!AC44</f>
        <v>-151.42253677238455</v>
      </c>
      <c r="AH13" s="16">
        <f>'Traffic_Reduced port VMT'!AD44</f>
        <v>-151.42253677238455</v>
      </c>
      <c r="AI13" s="16">
        <f>'Traffic_Reduced port VMT'!AE44</f>
        <v>-151.42253677238455</v>
      </c>
      <c r="AJ13" s="16">
        <f>'Traffic_Reduced port VMT'!AF44</f>
        <v>-151.42253677238455</v>
      </c>
      <c r="AK13" s="16">
        <f>'Traffic_Reduced port VMT'!AG44</f>
        <v>-151.42253677238455</v>
      </c>
      <c r="AL13" s="16">
        <f>'Traffic_Reduced port VMT'!AH44</f>
        <v>-151.42253677238455</v>
      </c>
      <c r="AM13" s="16">
        <f>'Traffic_Reduced port VMT'!AI44</f>
        <v>-151.42253677238455</v>
      </c>
      <c r="AN13" s="16">
        <f>'Traffic_Reduced port VMT'!AJ44</f>
        <v>-151.42253677238455</v>
      </c>
    </row>
    <row r="14" spans="1:46" x14ac:dyDescent="0.3">
      <c r="A14" t="s">
        <v>59</v>
      </c>
      <c r="B14" t="s">
        <v>56</v>
      </c>
      <c r="C14" s="59">
        <f t="shared" si="6"/>
        <v>4006.7319402482767</v>
      </c>
      <c r="D14" s="59">
        <f t="shared" si="8"/>
        <v>1662.444076899118</v>
      </c>
      <c r="E14" s="21">
        <f t="shared" si="7"/>
        <v>7989.5185443410264</v>
      </c>
      <c r="F14" s="21">
        <f t="shared" si="9"/>
        <v>257.72640465616212</v>
      </c>
      <c r="G14" s="16">
        <v>0</v>
      </c>
      <c r="H14" s="16">
        <v>0</v>
      </c>
      <c r="I14" s="16">
        <v>0</v>
      </c>
      <c r="J14" s="16">
        <f>'Traffic_Reduced port VMT'!F45</f>
        <v>185.85520759574999</v>
      </c>
      <c r="K14" s="16">
        <f>'Traffic_Reduced port VMT'!G45</f>
        <v>371.71041519149998</v>
      </c>
      <c r="L14" s="16">
        <f>'Traffic_Reduced port VMT'!H45</f>
        <v>246.97167802999968</v>
      </c>
      <c r="M14" s="16">
        <f>'Traffic_Reduced port VMT'!I45</f>
        <v>116.00709070999956</v>
      </c>
      <c r="N14" s="16">
        <f>'Traffic_Reduced port VMT'!J45</f>
        <v>-21.51516146500046</v>
      </c>
      <c r="O14" s="16">
        <f>'Traffic_Reduced port VMT'!K45</f>
        <v>-165.94104642500074</v>
      </c>
      <c r="P14" s="16">
        <f>'Traffic_Reduced port VMT'!L45</f>
        <v>-317.47499976500075</v>
      </c>
      <c r="Q14" s="16">
        <f>'Traffic_Reduced port VMT'!M45</f>
        <v>-350.21382200888644</v>
      </c>
      <c r="R14" s="16">
        <f>'Traffic_Reduced port VMT'!N45</f>
        <v>-350.21382200888644</v>
      </c>
      <c r="S14" s="16">
        <f>'Traffic_Reduced port VMT'!O45</f>
        <v>-350.21382200888644</v>
      </c>
      <c r="T14" s="16">
        <f>'Traffic_Reduced port VMT'!P45</f>
        <v>-350.21382200888644</v>
      </c>
      <c r="U14" s="16">
        <f>'Traffic_Reduced port VMT'!Q45</f>
        <v>-350.21382200888644</v>
      </c>
      <c r="V14" s="16">
        <f>'Traffic_Reduced port VMT'!R45</f>
        <v>-350.21382200888644</v>
      </c>
      <c r="W14" s="16">
        <f>'Traffic_Reduced port VMT'!S45</f>
        <v>-350.21382200888644</v>
      </c>
      <c r="X14" s="16">
        <f>'Traffic_Reduced port VMT'!T45</f>
        <v>-350.21382200888644</v>
      </c>
      <c r="Y14" s="16">
        <f>'Traffic_Reduced port VMT'!U45</f>
        <v>-350.21382200888644</v>
      </c>
      <c r="Z14" s="16">
        <f>'Traffic_Reduced port VMT'!V45</f>
        <v>-350.21382200888644</v>
      </c>
      <c r="AA14" s="16">
        <f>'Traffic_Reduced port VMT'!W45</f>
        <v>-350.21382200888644</v>
      </c>
      <c r="AB14" s="16">
        <f>'Traffic_Reduced port VMT'!X45</f>
        <v>-350.21382200888644</v>
      </c>
      <c r="AC14" s="16">
        <f>'Traffic_Reduced port VMT'!Y45</f>
        <v>-350.21382200888644</v>
      </c>
      <c r="AD14" s="16">
        <f>'Traffic_Reduced port VMT'!Z45</f>
        <v>-350.21382200888644</v>
      </c>
      <c r="AE14" s="16">
        <f>'Traffic_Reduced port VMT'!AA45</f>
        <v>-350.21382200888644</v>
      </c>
      <c r="AF14" s="16">
        <f>'Traffic_Reduced port VMT'!AB45</f>
        <v>-350.21382200888644</v>
      </c>
      <c r="AG14" s="16">
        <f>'Traffic_Reduced port VMT'!AC45</f>
        <v>-350.21382200888644</v>
      </c>
      <c r="AH14" s="16">
        <f>'Traffic_Reduced port VMT'!AD45</f>
        <v>-350.21382200888644</v>
      </c>
      <c r="AI14" s="16">
        <f>'Traffic_Reduced port VMT'!AE45</f>
        <v>-350.21382200888644</v>
      </c>
      <c r="AJ14" s="16">
        <f>'Traffic_Reduced port VMT'!AF45</f>
        <v>-350.21382200888644</v>
      </c>
      <c r="AK14" s="16">
        <f>'Traffic_Reduced port VMT'!AG45</f>
        <v>-350.21382200888644</v>
      </c>
      <c r="AL14" s="16">
        <f>'Traffic_Reduced port VMT'!AH45</f>
        <v>-350.21382200888644</v>
      </c>
      <c r="AM14" s="16">
        <f>'Traffic_Reduced port VMT'!AI45</f>
        <v>-350.21382200888644</v>
      </c>
      <c r="AN14" s="16">
        <f>'Traffic_Reduced port VMT'!AJ45</f>
        <v>-350.21382200888644</v>
      </c>
    </row>
    <row r="15" spans="1:46" x14ac:dyDescent="0.3">
      <c r="A15" t="s">
        <v>60</v>
      </c>
      <c r="B15" t="s">
        <v>56</v>
      </c>
      <c r="C15" s="59">
        <f t="shared" si="6"/>
        <v>7154.9764225783038</v>
      </c>
      <c r="D15" s="59">
        <f t="shared" si="8"/>
        <v>2968.6907812782406</v>
      </c>
      <c r="E15" s="21">
        <f t="shared" si="7"/>
        <v>14267.192730884297</v>
      </c>
      <c r="F15" s="21">
        <f t="shared" si="9"/>
        <v>460.23202357691281</v>
      </c>
      <c r="G15" s="16">
        <v>0</v>
      </c>
      <c r="H15" s="16">
        <v>0</v>
      </c>
      <c r="I15" s="16">
        <v>0</v>
      </c>
      <c r="J15" s="16">
        <f>'Traffic_Reduced port VMT'!F46</f>
        <v>331.88884312499999</v>
      </c>
      <c r="K15" s="16">
        <f>'Traffic_Reduced port VMT'!G46</f>
        <v>663.77768624999999</v>
      </c>
      <c r="L15" s="16">
        <f>'Traffic_Reduced port VMT'!H46</f>
        <v>441.02689166666602</v>
      </c>
      <c r="M15" s="16">
        <f>'Traffic_Reduced port VMT'!I46</f>
        <v>207.15835530302948</v>
      </c>
      <c r="N15" s="16">
        <f>'Traffic_Reduced port VMT'!J46</f>
        <v>-38.420457196970517</v>
      </c>
      <c r="O15" s="16">
        <f>'Traffic_Reduced port VMT'!K46</f>
        <v>-296.32735416666799</v>
      </c>
      <c r="P15" s="16">
        <f>'Traffic_Reduced port VMT'!L46</f>
        <v>-566.92740416666788</v>
      </c>
      <c r="Q15" s="16">
        <f>'Traffic_Reduced port VMT'!M46</f>
        <v>-625.39038715411209</v>
      </c>
      <c r="R15" s="16">
        <f>'Traffic_Reduced port VMT'!N46</f>
        <v>-625.39038715411209</v>
      </c>
      <c r="S15" s="16">
        <f>'Traffic_Reduced port VMT'!O46</f>
        <v>-625.39038715411209</v>
      </c>
      <c r="T15" s="16">
        <f>'Traffic_Reduced port VMT'!P46</f>
        <v>-625.39038715411209</v>
      </c>
      <c r="U15" s="16">
        <f>'Traffic_Reduced port VMT'!Q46</f>
        <v>-625.39038715411209</v>
      </c>
      <c r="V15" s="16">
        <f>'Traffic_Reduced port VMT'!R46</f>
        <v>-625.39038715411209</v>
      </c>
      <c r="W15" s="16">
        <f>'Traffic_Reduced port VMT'!S46</f>
        <v>-625.39038715411209</v>
      </c>
      <c r="X15" s="16">
        <f>'Traffic_Reduced port VMT'!T46</f>
        <v>-625.39038715411209</v>
      </c>
      <c r="Y15" s="16">
        <f>'Traffic_Reduced port VMT'!U46</f>
        <v>-625.39038715411209</v>
      </c>
      <c r="Z15" s="16">
        <f>'Traffic_Reduced port VMT'!V46</f>
        <v>-625.39038715411209</v>
      </c>
      <c r="AA15" s="16">
        <f>'Traffic_Reduced port VMT'!W46</f>
        <v>-625.39038715411209</v>
      </c>
      <c r="AB15" s="16">
        <f>'Traffic_Reduced port VMT'!X46</f>
        <v>-625.39038715411209</v>
      </c>
      <c r="AC15" s="16">
        <f>'Traffic_Reduced port VMT'!Y46</f>
        <v>-625.39038715411209</v>
      </c>
      <c r="AD15" s="16">
        <f>'Traffic_Reduced port VMT'!Z46</f>
        <v>-625.39038715411209</v>
      </c>
      <c r="AE15" s="16">
        <f>'Traffic_Reduced port VMT'!AA46</f>
        <v>-625.39038715411209</v>
      </c>
      <c r="AF15" s="16">
        <f>'Traffic_Reduced port VMT'!AB46</f>
        <v>-625.39038715411209</v>
      </c>
      <c r="AG15" s="16">
        <f>'Traffic_Reduced port VMT'!AC46</f>
        <v>-625.39038715411209</v>
      </c>
      <c r="AH15" s="16">
        <f>'Traffic_Reduced port VMT'!AD46</f>
        <v>-625.39038715411209</v>
      </c>
      <c r="AI15" s="16">
        <f>'Traffic_Reduced port VMT'!AE46</f>
        <v>-625.39038715411209</v>
      </c>
      <c r="AJ15" s="16">
        <f>'Traffic_Reduced port VMT'!AF46</f>
        <v>-625.39038715411209</v>
      </c>
      <c r="AK15" s="16">
        <f>'Traffic_Reduced port VMT'!AG46</f>
        <v>-625.39038715411209</v>
      </c>
      <c r="AL15" s="16">
        <f>'Traffic_Reduced port VMT'!AH46</f>
        <v>-625.39038715411209</v>
      </c>
      <c r="AM15" s="16">
        <f>'Traffic_Reduced port VMT'!AI46</f>
        <v>-625.39038715411209</v>
      </c>
      <c r="AN15" s="16">
        <f>'Traffic_Reduced port VMT'!AJ46</f>
        <v>-625.39038715411209</v>
      </c>
    </row>
    <row r="16" spans="1:46" x14ac:dyDescent="0.3">
      <c r="A16" t="s">
        <v>61</v>
      </c>
      <c r="B16" t="s">
        <v>56</v>
      </c>
      <c r="C16" s="59">
        <f t="shared" si="6"/>
        <v>181.46826939508239</v>
      </c>
      <c r="D16" s="59">
        <f t="shared" si="8"/>
        <v>75.293494573608655</v>
      </c>
      <c r="E16" s="21">
        <f t="shared" si="7"/>
        <v>361.852034316936</v>
      </c>
      <c r="F16" s="21">
        <f t="shared" si="9"/>
        <v>11.672646268288258</v>
      </c>
      <c r="G16" s="16">
        <v>0</v>
      </c>
      <c r="H16" s="16">
        <v>0</v>
      </c>
      <c r="I16" s="16">
        <v>0</v>
      </c>
      <c r="J16" s="16">
        <f>'Traffic_Reduced port VMT'!F47</f>
        <v>8.4175391275051528</v>
      </c>
      <c r="K16" s="16">
        <f>'Traffic_Reduced port VMT'!G47</f>
        <v>16.835078255010306</v>
      </c>
      <c r="L16" s="16">
        <f>'Traffic_Reduced port VMT'!H47</f>
        <v>11.185555627394027</v>
      </c>
      <c r="M16" s="16">
        <f>'Traffic_Reduced port VMT'!I47</f>
        <v>5.2540589943727269</v>
      </c>
      <c r="N16" s="16">
        <f>'Traffic_Reduced port VMT'!J47</f>
        <v>-0.97443981155561565</v>
      </c>
      <c r="O16" s="16">
        <f>'Traffic_Reduced port VMT'!K47</f>
        <v>-7.5156099697769996</v>
      </c>
      <c r="P16" s="16">
        <f>'Traffic_Reduced port VMT'!L47</f>
        <v>-14.378710540837664</v>
      </c>
      <c r="Q16" s="16">
        <f>'Traffic_Reduced port VMT'!M47</f>
        <v>-15.861479416627001</v>
      </c>
      <c r="R16" s="16">
        <f>'Traffic_Reduced port VMT'!N47</f>
        <v>-15.861479416627001</v>
      </c>
      <c r="S16" s="16">
        <f>'Traffic_Reduced port VMT'!O47</f>
        <v>-15.861479416627001</v>
      </c>
      <c r="T16" s="16">
        <f>'Traffic_Reduced port VMT'!P47</f>
        <v>-15.861479416627001</v>
      </c>
      <c r="U16" s="16">
        <f>'Traffic_Reduced port VMT'!Q47</f>
        <v>-15.861479416627001</v>
      </c>
      <c r="V16" s="16">
        <f>'Traffic_Reduced port VMT'!R47</f>
        <v>-15.861479416627001</v>
      </c>
      <c r="W16" s="16">
        <f>'Traffic_Reduced port VMT'!S47</f>
        <v>-15.861479416627001</v>
      </c>
      <c r="X16" s="16">
        <f>'Traffic_Reduced port VMT'!T47</f>
        <v>-15.861479416627001</v>
      </c>
      <c r="Y16" s="16">
        <f>'Traffic_Reduced port VMT'!U47</f>
        <v>-15.861479416627001</v>
      </c>
      <c r="Z16" s="16">
        <f>'Traffic_Reduced port VMT'!V47</f>
        <v>-15.861479416627001</v>
      </c>
      <c r="AA16" s="16">
        <f>'Traffic_Reduced port VMT'!W47</f>
        <v>-15.861479416627001</v>
      </c>
      <c r="AB16" s="16">
        <f>'Traffic_Reduced port VMT'!X47</f>
        <v>-15.861479416627001</v>
      </c>
      <c r="AC16" s="16">
        <f>'Traffic_Reduced port VMT'!Y47</f>
        <v>-15.861479416627001</v>
      </c>
      <c r="AD16" s="16">
        <f>'Traffic_Reduced port VMT'!Z47</f>
        <v>-15.861479416627001</v>
      </c>
      <c r="AE16" s="16">
        <f>'Traffic_Reduced port VMT'!AA47</f>
        <v>-15.861479416627001</v>
      </c>
      <c r="AF16" s="16">
        <f>'Traffic_Reduced port VMT'!AB47</f>
        <v>-15.861479416627001</v>
      </c>
      <c r="AG16" s="16">
        <f>'Traffic_Reduced port VMT'!AC47</f>
        <v>-15.861479416627001</v>
      </c>
      <c r="AH16" s="16">
        <f>'Traffic_Reduced port VMT'!AD47</f>
        <v>-15.861479416627001</v>
      </c>
      <c r="AI16" s="16">
        <f>'Traffic_Reduced port VMT'!AE47</f>
        <v>-15.861479416627001</v>
      </c>
      <c r="AJ16" s="16">
        <f>'Traffic_Reduced port VMT'!AF47</f>
        <v>-15.861479416627001</v>
      </c>
      <c r="AK16" s="16">
        <f>'Traffic_Reduced port VMT'!AG47</f>
        <v>-15.861479416627001</v>
      </c>
      <c r="AL16" s="16">
        <f>'Traffic_Reduced port VMT'!AH47</f>
        <v>-15.861479416627001</v>
      </c>
      <c r="AM16" s="16">
        <f>'Traffic_Reduced port VMT'!AI47</f>
        <v>-15.861479416627001</v>
      </c>
      <c r="AN16" s="16">
        <f>'Traffic_Reduced port VMT'!AJ47</f>
        <v>-15.861479416627001</v>
      </c>
    </row>
    <row r="17" spans="1:45" s="14" customFormat="1" x14ac:dyDescent="0.3">
      <c r="A17" s="63" t="s">
        <v>18</v>
      </c>
      <c r="B17" s="63"/>
      <c r="C17" s="98">
        <f>SUM(C3:C15)</f>
        <v>285922488.1359489</v>
      </c>
      <c r="D17" s="98">
        <f>SUM(D3:D15)</f>
        <v>148902829.01530313</v>
      </c>
      <c r="E17" s="98">
        <f>SUM(E3:E15)</f>
        <v>506098018.97148263</v>
      </c>
      <c r="F17" s="21"/>
    </row>
    <row r="18" spans="1:45" ht="15" thickTop="1" x14ac:dyDescent="0.3">
      <c r="F18" s="21"/>
    </row>
    <row r="20" spans="1:45" x14ac:dyDescent="0.3">
      <c r="A20" s="9" t="s">
        <v>63</v>
      </c>
      <c r="B20" s="9" t="s">
        <v>42</v>
      </c>
      <c r="C20" s="9" t="s">
        <v>43</v>
      </c>
      <c r="D20" s="9" t="s">
        <v>44</v>
      </c>
      <c r="E20" s="9" t="s">
        <v>2</v>
      </c>
      <c r="F20" s="9">
        <v>2022</v>
      </c>
      <c r="G20" s="9">
        <v>2023</v>
      </c>
      <c r="H20" s="9">
        <v>2024</v>
      </c>
      <c r="I20" s="9">
        <v>2025</v>
      </c>
      <c r="J20" s="9">
        <v>2026</v>
      </c>
      <c r="K20" s="9">
        <v>2027</v>
      </c>
      <c r="L20" s="9">
        <v>2028</v>
      </c>
      <c r="M20" s="9">
        <v>2029</v>
      </c>
      <c r="N20" s="9">
        <v>2030</v>
      </c>
      <c r="O20" s="9">
        <v>2031</v>
      </c>
      <c r="P20" s="9">
        <v>2032</v>
      </c>
      <c r="Q20" s="9">
        <v>2033</v>
      </c>
      <c r="R20" s="9">
        <v>2034</v>
      </c>
      <c r="S20" s="9">
        <v>2035</v>
      </c>
      <c r="T20" s="9">
        <v>2036</v>
      </c>
      <c r="U20" s="9">
        <v>2037</v>
      </c>
      <c r="V20" s="9">
        <v>2038</v>
      </c>
      <c r="W20" s="9">
        <v>2039</v>
      </c>
      <c r="X20" s="9">
        <v>2040</v>
      </c>
      <c r="Y20" s="9">
        <v>2041</v>
      </c>
      <c r="Z20" s="9">
        <v>2042</v>
      </c>
      <c r="AA20" s="9">
        <v>2043</v>
      </c>
      <c r="AB20" s="9">
        <v>2044</v>
      </c>
      <c r="AC20" s="9">
        <v>2045</v>
      </c>
      <c r="AD20" s="9">
        <v>2046</v>
      </c>
      <c r="AE20" s="9">
        <v>2047</v>
      </c>
      <c r="AF20" s="9">
        <v>2048</v>
      </c>
      <c r="AG20" s="9">
        <v>2049</v>
      </c>
      <c r="AH20" s="9">
        <v>2050</v>
      </c>
      <c r="AI20" s="9">
        <v>2051</v>
      </c>
      <c r="AJ20" s="9">
        <v>2052</v>
      </c>
      <c r="AK20" s="9">
        <v>2053</v>
      </c>
      <c r="AL20" s="9">
        <v>2054</v>
      </c>
      <c r="AM20" s="9">
        <v>2055</v>
      </c>
      <c r="AN20" s="9">
        <v>2056</v>
      </c>
      <c r="AO20" s="14"/>
      <c r="AP20" s="14"/>
      <c r="AQ20" s="14"/>
      <c r="AR20" s="14"/>
      <c r="AS20" s="14"/>
    </row>
    <row r="21" spans="1:45" x14ac:dyDescent="0.3">
      <c r="A21" t="s">
        <v>64</v>
      </c>
      <c r="B21" t="s">
        <v>65</v>
      </c>
      <c r="C21" s="21">
        <f>NPV($C$1, F21:AN21)</f>
        <v>14597858.75256734</v>
      </c>
      <c r="D21" s="21">
        <f>NPV($D$1, F21:AN21)</f>
        <v>13190696.615987066</v>
      </c>
      <c r="E21" s="21">
        <f>SUM(F21:AN21)</f>
        <v>15805044.5</v>
      </c>
      <c r="F21" s="21">
        <f>'Updated Project Costs'!B24</f>
        <v>1580504.45</v>
      </c>
      <c r="G21" s="21">
        <f>'Updated Project Costs'!C24</f>
        <v>4741513.3499999996</v>
      </c>
      <c r="H21" s="21">
        <f>'Updated Project Costs'!D24</f>
        <v>6322017.7999999998</v>
      </c>
      <c r="I21" s="21">
        <f>'Updated Project Costs'!E24</f>
        <v>3161008.9</v>
      </c>
      <c r="J21" s="21">
        <f>'Updated Project Costs'!F24</f>
        <v>0</v>
      </c>
      <c r="K21" s="21">
        <f>'Updated Project Costs'!G24</f>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row>
    <row r="22" spans="1:45" x14ac:dyDescent="0.3">
      <c r="A22" t="s">
        <v>66</v>
      </c>
      <c r="B22" t="s">
        <v>67</v>
      </c>
      <c r="C22" s="21">
        <f>NPV($C$1, F22:AN22)</f>
        <v>26901848.026935365</v>
      </c>
      <c r="D22" s="21">
        <f>NPV($D$1, F22:AN22)</f>
        <v>14626471.404743372</v>
      </c>
      <c r="E22" s="21">
        <f>SUM(F22:AN22)</f>
        <v>46645714.217220031</v>
      </c>
      <c r="F22">
        <v>0</v>
      </c>
      <c r="G22">
        <v>0</v>
      </c>
      <c r="H22">
        <v>0</v>
      </c>
      <c r="I22" s="21">
        <f>'Air Quality'!D22</f>
        <v>692713.91488500778</v>
      </c>
      <c r="J22" s="3">
        <f>'Air Quality'!E22</f>
        <v>1409261.470036844</v>
      </c>
      <c r="K22" s="3">
        <f>'Air Quality'!F22</f>
        <v>1429437.2216698513</v>
      </c>
      <c r="L22" s="3">
        <f>'Air Quality'!G22</f>
        <v>1449348.0428651986</v>
      </c>
      <c r="M22" s="3">
        <f>'Air Quality'!H22</f>
        <v>1468541.3768611497</v>
      </c>
      <c r="N22" s="3">
        <f>'Air Quality'!I22</f>
        <v>1492313.4913311508</v>
      </c>
      <c r="O22" s="3">
        <f>'Air Quality'!J22</f>
        <v>1487427.6663813428</v>
      </c>
      <c r="P22" s="3">
        <f>'Air Quality'!K22</f>
        <v>1486474.4893590703</v>
      </c>
      <c r="Q22" s="3">
        <f>'Air Quality'!L22</f>
        <v>1486645.2332818513</v>
      </c>
      <c r="R22" s="3">
        <f>'Air Quality'!M22</f>
        <v>1486815.9772046325</v>
      </c>
      <c r="S22" s="3">
        <f>'Air Quality'!N22</f>
        <v>1486986.7211274132</v>
      </c>
      <c r="T22" s="3">
        <f>'Air Quality'!O22</f>
        <v>1487328.2089729754</v>
      </c>
      <c r="U22" s="3">
        <f>'Air Quality'!P22</f>
        <v>1487498.9528957563</v>
      </c>
      <c r="V22" s="3">
        <f>'Air Quality'!Q22</f>
        <v>1487669.6968185373</v>
      </c>
      <c r="W22" s="3">
        <f>'Air Quality'!R22</f>
        <v>1487840.4407413183</v>
      </c>
      <c r="X22" s="3">
        <f>'Air Quality'!S22</f>
        <v>1488011.1846640995</v>
      </c>
      <c r="Y22" s="3">
        <f>'Air Quality'!T22</f>
        <v>1488181.9285868802</v>
      </c>
      <c r="Z22" s="3">
        <f>'Air Quality'!U22</f>
        <v>1488352.6725096614</v>
      </c>
      <c r="AA22" s="3">
        <f>'Air Quality'!V22</f>
        <v>1488694.1603552233</v>
      </c>
      <c r="AB22" s="3">
        <f>'Air Quality'!W22</f>
        <v>1488864.9042780043</v>
      </c>
      <c r="AC22" s="3">
        <f>'Air Quality'!X22</f>
        <v>1489035.6482007853</v>
      </c>
      <c r="AD22" s="3">
        <f>'Air Quality'!Y22</f>
        <v>1489206.3921235662</v>
      </c>
      <c r="AE22" s="3">
        <f>'Air Quality'!Z22</f>
        <v>1489377.1360463472</v>
      </c>
      <c r="AF22" s="3">
        <f>'Air Quality'!AA22</f>
        <v>1489547.8799691284</v>
      </c>
      <c r="AG22" s="3">
        <f>'Air Quality'!AB22</f>
        <v>1489718.6238919091</v>
      </c>
      <c r="AH22" s="3">
        <f>'Air Quality'!AC22</f>
        <v>1490060.1117374713</v>
      </c>
      <c r="AI22" s="3">
        <f>'Air Quality'!AD22</f>
        <v>1490060.1117374713</v>
      </c>
      <c r="AJ22" s="3">
        <f>'Air Quality'!AE22</f>
        <v>1490060.1117374713</v>
      </c>
      <c r="AK22" s="3">
        <f>'Air Quality'!AF22</f>
        <v>1490060.1117374713</v>
      </c>
      <c r="AL22" s="3">
        <f>'Air Quality'!AG22</f>
        <v>1490060.1117374713</v>
      </c>
      <c r="AM22" s="3">
        <f>'Air Quality'!AH22</f>
        <v>1490060.1117374713</v>
      </c>
      <c r="AN22" s="3">
        <f>'Air Quality'!AI22</f>
        <v>1490060.1117374713</v>
      </c>
    </row>
    <row r="23" spans="1:45" s="14" customFormat="1" ht="15" thickBot="1" x14ac:dyDescent="0.35">
      <c r="A23" s="63" t="s">
        <v>18</v>
      </c>
      <c r="B23" s="63"/>
      <c r="C23" s="98">
        <f>SUM(C21:C22)</f>
        <v>41499706.779502705</v>
      </c>
      <c r="D23" s="98">
        <f t="shared" ref="D23:E23" si="10">SUM(D21:D22)</f>
        <v>27817168.020730436</v>
      </c>
      <c r="E23" s="98">
        <f t="shared" si="10"/>
        <v>62450758.717220031</v>
      </c>
    </row>
    <row r="24" spans="1:45" ht="15" thickTop="1" x14ac:dyDescent="0.3"/>
    <row r="30" spans="1:45" x14ac:dyDescent="0.3">
      <c r="A30" s="58"/>
    </row>
    <row r="31" spans="1:45" x14ac:dyDescent="0.3">
      <c r="A31" s="57"/>
    </row>
    <row r="32" spans="1:45" x14ac:dyDescent="0.3">
      <c r="A32" s="5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DB5-FB85-4322-8B49-DB47A60D1100}">
  <sheetPr>
    <tabColor theme="7" tint="0.79998168889431442"/>
  </sheetPr>
  <dimension ref="A1:AO52"/>
  <sheetViews>
    <sheetView topLeftCell="C19" zoomScale="80" zoomScaleNormal="80" workbookViewId="0">
      <selection activeCell="C39" sqref="C39"/>
    </sheetView>
  </sheetViews>
  <sheetFormatPr defaultRowHeight="14.4" x14ac:dyDescent="0.3"/>
  <cols>
    <col min="1" max="1" width="64.44140625" customWidth="1"/>
    <col min="2" max="2" width="28" customWidth="1"/>
    <col min="3" max="3" width="18.5546875" customWidth="1"/>
    <col min="4" max="4" width="22" customWidth="1"/>
    <col min="5" max="5" width="20.5546875" bestFit="1" customWidth="1"/>
    <col min="6" max="6" width="20.109375" customWidth="1"/>
    <col min="7" max="7" width="25.88671875" customWidth="1"/>
    <col min="25" max="25" width="11.109375" customWidth="1"/>
  </cols>
  <sheetData>
    <row r="1" spans="1:6" x14ac:dyDescent="0.3">
      <c r="A1" t="s">
        <v>69</v>
      </c>
    </row>
    <row r="3" spans="1:6" x14ac:dyDescent="0.3">
      <c r="A3" s="14" t="s">
        <v>29</v>
      </c>
    </row>
    <row r="4" spans="1:6" x14ac:dyDescent="0.3">
      <c r="A4" t="s">
        <v>70</v>
      </c>
      <c r="B4" t="s">
        <v>71</v>
      </c>
      <c r="C4" t="s">
        <v>72</v>
      </c>
    </row>
    <row r="5" spans="1:6" x14ac:dyDescent="0.3">
      <c r="A5" t="s">
        <v>73</v>
      </c>
      <c r="B5">
        <f>AVERAGE(25.3,18.2)</f>
        <v>21.75</v>
      </c>
      <c r="C5" s="25">
        <v>3.145</v>
      </c>
      <c r="D5" s="24"/>
      <c r="F5" s="25"/>
    </row>
    <row r="7" spans="1:6" x14ac:dyDescent="0.3">
      <c r="A7" t="s">
        <v>74</v>
      </c>
    </row>
    <row r="8" spans="1:6" x14ac:dyDescent="0.3">
      <c r="A8" t="s">
        <v>75</v>
      </c>
    </row>
    <row r="9" spans="1:6" x14ac:dyDescent="0.3">
      <c r="A9" t="s">
        <v>76</v>
      </c>
    </row>
    <row r="11" spans="1:6" x14ac:dyDescent="0.3">
      <c r="A11" s="14" t="s">
        <v>77</v>
      </c>
    </row>
    <row r="12" spans="1:6" s="7" customFormat="1" ht="49.35" customHeight="1" x14ac:dyDescent="0.3">
      <c r="A12" s="7" t="s">
        <v>70</v>
      </c>
      <c r="B12" s="7" t="s">
        <v>78</v>
      </c>
      <c r="C12" s="7" t="s">
        <v>79</v>
      </c>
    </row>
    <row r="13" spans="1:6" x14ac:dyDescent="0.3">
      <c r="A13" t="s">
        <v>73</v>
      </c>
      <c r="B13" s="16">
        <f>'BCA Values'!K24</f>
        <v>0.45</v>
      </c>
      <c r="C13" s="16">
        <f>'BCA Values'!K25</f>
        <v>0.94</v>
      </c>
      <c r="D13" s="39"/>
      <c r="E13" s="21"/>
      <c r="F13" s="21"/>
    </row>
    <row r="15" spans="1:6" x14ac:dyDescent="0.3">
      <c r="A15" t="s">
        <v>80</v>
      </c>
      <c r="B15" s="12"/>
    </row>
    <row r="16" spans="1:6" x14ac:dyDescent="0.3">
      <c r="A16" t="s">
        <v>81</v>
      </c>
    </row>
    <row r="18" spans="1:4" x14ac:dyDescent="0.3">
      <c r="A18" s="14" t="s">
        <v>82</v>
      </c>
    </row>
    <row r="19" spans="1:4" x14ac:dyDescent="0.3">
      <c r="A19" t="s">
        <v>83</v>
      </c>
      <c r="B19" t="s">
        <v>84</v>
      </c>
      <c r="C19" t="s">
        <v>85</v>
      </c>
      <c r="D19" t="s">
        <v>86</v>
      </c>
    </row>
    <row r="20" spans="1:4" x14ac:dyDescent="0.3">
      <c r="A20" t="s">
        <v>31</v>
      </c>
      <c r="B20" s="61">
        <v>0.68600000000000005</v>
      </c>
      <c r="C20">
        <f>B20/1000000</f>
        <v>6.8600000000000008E-7</v>
      </c>
    </row>
    <row r="21" spans="1:4" x14ac:dyDescent="0.3">
      <c r="A21" s="7" t="s">
        <v>32</v>
      </c>
      <c r="C21">
        <f t="shared" ref="C21:C23" si="0">B21/1000000</f>
        <v>0</v>
      </c>
    </row>
    <row r="22" spans="1:4" x14ac:dyDescent="0.3">
      <c r="A22" t="s">
        <v>33</v>
      </c>
      <c r="B22">
        <v>404</v>
      </c>
      <c r="C22">
        <f t="shared" si="0"/>
        <v>4.0400000000000001E-4</v>
      </c>
    </row>
    <row r="23" spans="1:4" x14ac:dyDescent="0.3">
      <c r="A23" t="s">
        <v>34</v>
      </c>
      <c r="B23">
        <v>0.02</v>
      </c>
      <c r="C23">
        <f t="shared" si="0"/>
        <v>2E-8</v>
      </c>
    </row>
    <row r="24" spans="1:4" x14ac:dyDescent="0.3">
      <c r="B24" t="s">
        <v>87</v>
      </c>
    </row>
    <row r="25" spans="1:4" x14ac:dyDescent="0.3">
      <c r="A25" s="7"/>
      <c r="B25" t="s">
        <v>88</v>
      </c>
    </row>
    <row r="26" spans="1:4" x14ac:dyDescent="0.3">
      <c r="A26" s="7"/>
    </row>
    <row r="27" spans="1:4" x14ac:dyDescent="0.3">
      <c r="A27" s="14" t="s">
        <v>89</v>
      </c>
      <c r="B27" t="s">
        <v>90</v>
      </c>
      <c r="C27" t="s">
        <v>91</v>
      </c>
      <c r="D27" t="s">
        <v>92</v>
      </c>
    </row>
    <row r="28" spans="1:4" x14ac:dyDescent="0.3">
      <c r="A28" s="7" t="s">
        <v>70</v>
      </c>
      <c r="B28">
        <f>'Crash stats'!$R$8/100000000</f>
        <v>8.7499999999999999E-7</v>
      </c>
      <c r="C28" s="60">
        <f>'Crash stats'!$C$15/100000000</f>
        <v>1.1550000000000001E-8</v>
      </c>
      <c r="D28" s="60">
        <f>'Crash stats'!AC16/1000000</f>
        <v>1.4598614334767006E-6</v>
      </c>
    </row>
    <row r="29" spans="1:4" x14ac:dyDescent="0.3">
      <c r="A29" t="s">
        <v>73</v>
      </c>
      <c r="B29" t="s">
        <v>93</v>
      </c>
    </row>
    <row r="30" spans="1:4" x14ac:dyDescent="0.3">
      <c r="A30" s="7"/>
    </row>
    <row r="32" spans="1:4" x14ac:dyDescent="0.3">
      <c r="A32" t="s">
        <v>94</v>
      </c>
      <c r="C32" s="27">
        <v>0.03</v>
      </c>
      <c r="D32" s="27">
        <v>7.0000000000000007E-2</v>
      </c>
    </row>
    <row r="33" spans="1:41" x14ac:dyDescent="0.3">
      <c r="A33" s="9"/>
      <c r="B33" s="9"/>
      <c r="C33" s="9" t="s">
        <v>43</v>
      </c>
      <c r="D33" s="9" t="s">
        <v>44</v>
      </c>
      <c r="E33" s="9" t="s">
        <v>2</v>
      </c>
      <c r="F33" s="9">
        <v>2025</v>
      </c>
      <c r="G33" s="9">
        <v>2026</v>
      </c>
      <c r="H33" s="9">
        <v>2027</v>
      </c>
      <c r="I33" s="9">
        <v>2028</v>
      </c>
      <c r="J33" s="9">
        <v>2029</v>
      </c>
      <c r="K33" s="9">
        <v>2030</v>
      </c>
      <c r="L33" s="9">
        <v>2031</v>
      </c>
      <c r="M33" s="9">
        <v>2032</v>
      </c>
      <c r="N33" s="9">
        <v>2033</v>
      </c>
      <c r="O33" s="9">
        <v>2034</v>
      </c>
      <c r="P33" s="9">
        <v>2035</v>
      </c>
      <c r="Q33" s="9">
        <v>2036</v>
      </c>
      <c r="R33" s="9">
        <v>2037</v>
      </c>
      <c r="S33" s="9">
        <v>2038</v>
      </c>
      <c r="T33" s="9">
        <v>2039</v>
      </c>
      <c r="U33" s="9">
        <v>2040</v>
      </c>
      <c r="V33" s="9">
        <v>2041</v>
      </c>
      <c r="W33" s="9">
        <v>2042</v>
      </c>
      <c r="X33" s="9">
        <v>2043</v>
      </c>
      <c r="Y33" s="9">
        <v>2044</v>
      </c>
      <c r="Z33" s="9">
        <v>2045</v>
      </c>
      <c r="AA33" s="9">
        <v>2046</v>
      </c>
      <c r="AB33" s="9">
        <v>2047</v>
      </c>
      <c r="AC33" s="9">
        <v>2048</v>
      </c>
      <c r="AD33" s="9">
        <v>2049</v>
      </c>
      <c r="AE33" s="9">
        <v>2050</v>
      </c>
      <c r="AF33" s="9">
        <v>2051</v>
      </c>
      <c r="AG33" s="9">
        <v>2052</v>
      </c>
      <c r="AH33" s="9">
        <v>2053</v>
      </c>
      <c r="AI33" s="9">
        <v>2054</v>
      </c>
      <c r="AJ33" s="9">
        <v>2055</v>
      </c>
      <c r="AK33" s="14"/>
      <c r="AL33" s="14"/>
      <c r="AM33" s="14"/>
      <c r="AN33" s="14"/>
      <c r="AO33" s="14"/>
    </row>
    <row r="34" spans="1:41" hidden="1" x14ac:dyDescent="0.3">
      <c r="F34">
        <v>2022</v>
      </c>
      <c r="G34">
        <v>2023</v>
      </c>
      <c r="H34">
        <v>2024</v>
      </c>
      <c r="I34">
        <v>2025</v>
      </c>
      <c r="J34">
        <v>2026</v>
      </c>
      <c r="K34">
        <v>2027</v>
      </c>
      <c r="L34">
        <v>2028</v>
      </c>
      <c r="M34">
        <v>2029</v>
      </c>
      <c r="N34">
        <v>2030</v>
      </c>
      <c r="O34">
        <v>2031</v>
      </c>
      <c r="P34">
        <v>2032</v>
      </c>
      <c r="Q34">
        <v>2033</v>
      </c>
      <c r="R34">
        <v>2034</v>
      </c>
      <c r="S34">
        <v>2035</v>
      </c>
      <c r="T34">
        <v>2036</v>
      </c>
      <c r="U34">
        <v>2037</v>
      </c>
      <c r="V34">
        <v>2038</v>
      </c>
      <c r="W34">
        <v>2039</v>
      </c>
      <c r="X34">
        <v>2040</v>
      </c>
      <c r="Y34">
        <v>2041</v>
      </c>
      <c r="Z34">
        <v>2042</v>
      </c>
      <c r="AA34">
        <v>2043</v>
      </c>
      <c r="AB34">
        <v>2044</v>
      </c>
      <c r="AC34">
        <v>2045</v>
      </c>
      <c r="AD34">
        <v>2046</v>
      </c>
      <c r="AE34">
        <v>2047</v>
      </c>
      <c r="AF34">
        <v>2048</v>
      </c>
      <c r="AG34">
        <v>2049</v>
      </c>
      <c r="AH34">
        <v>2050</v>
      </c>
      <c r="AI34">
        <v>2051</v>
      </c>
      <c r="AJ34">
        <v>2052</v>
      </c>
    </row>
    <row r="35" spans="1:41" x14ac:dyDescent="0.3">
      <c r="A35" t="s">
        <v>95</v>
      </c>
      <c r="C35" s="67"/>
      <c r="D35" s="67"/>
      <c r="E35" s="67"/>
    </row>
    <row r="36" spans="1:41" x14ac:dyDescent="0.3">
      <c r="A36" t="s">
        <v>96</v>
      </c>
      <c r="C36" s="67"/>
      <c r="D36" s="67"/>
      <c r="E36" s="67"/>
      <c r="F36">
        <f>G36/2</f>
        <v>-8405.6159090909096</v>
      </c>
      <c r="G36">
        <v>-16811.231818181819</v>
      </c>
      <c r="H36">
        <v>-17652.515151515152</v>
      </c>
      <c r="I36">
        <v>-18535.78787878788</v>
      </c>
      <c r="J36">
        <v>-19463.28787878788</v>
      </c>
      <c r="K36">
        <v>-20437.348484848488</v>
      </c>
      <c r="L36">
        <v>-21459.348484848488</v>
      </c>
      <c r="M36">
        <v>-21680.150988813908</v>
      </c>
      <c r="N36">
        <v>-21680.150988813908</v>
      </c>
      <c r="O36">
        <v>-21680.150988813908</v>
      </c>
      <c r="P36">
        <v>-21680.150988813908</v>
      </c>
      <c r="Q36">
        <v>-21680.150988813908</v>
      </c>
      <c r="R36">
        <v>-21680.150988813908</v>
      </c>
      <c r="S36">
        <v>-21680.150988813908</v>
      </c>
      <c r="T36">
        <v>-21680.150988813908</v>
      </c>
      <c r="U36">
        <v>-21680.150988813908</v>
      </c>
      <c r="V36">
        <v>-21680.150988813908</v>
      </c>
      <c r="W36">
        <v>-21680.150988813908</v>
      </c>
      <c r="X36">
        <v>-21680.150988813908</v>
      </c>
      <c r="Y36">
        <v>-21680.150988813908</v>
      </c>
      <c r="Z36">
        <v>-21680.150988813908</v>
      </c>
      <c r="AA36">
        <v>-21680.150988813908</v>
      </c>
      <c r="AB36">
        <v>-21680.150988813908</v>
      </c>
      <c r="AC36">
        <v>-21680.150988813908</v>
      </c>
      <c r="AD36">
        <v>-21680.150988813908</v>
      </c>
      <c r="AE36">
        <v>-21680.150988813908</v>
      </c>
      <c r="AF36">
        <v>-21680.150988813908</v>
      </c>
      <c r="AG36">
        <v>-21680.150988813908</v>
      </c>
      <c r="AH36">
        <v>-21680.150988813908</v>
      </c>
      <c r="AI36">
        <v>-21680.150988813908</v>
      </c>
      <c r="AJ36">
        <v>-21680.150988813908</v>
      </c>
    </row>
    <row r="37" spans="1:41" x14ac:dyDescent="0.3">
      <c r="A37" t="s">
        <v>97</v>
      </c>
      <c r="C37" s="67"/>
      <c r="D37" s="67"/>
      <c r="E37" s="67"/>
      <c r="F37">
        <f>G37/2</f>
        <v>9659.0909090909081</v>
      </c>
      <c r="G37">
        <v>19318.181818181816</v>
      </c>
      <c r="H37">
        <v>19318.181818181816</v>
      </c>
      <c r="I37">
        <v>19318.181818181816</v>
      </c>
      <c r="J37">
        <v>19318.181818181816</v>
      </c>
      <c r="K37">
        <v>19318.181818181816</v>
      </c>
      <c r="L37">
        <v>19318.181818181816</v>
      </c>
      <c r="M37">
        <v>19318.181818181816</v>
      </c>
      <c r="N37">
        <v>19318.181818181816</v>
      </c>
      <c r="O37">
        <v>19318.181818181816</v>
      </c>
      <c r="P37">
        <v>19318.181818181816</v>
      </c>
      <c r="Q37">
        <v>19318.181818181816</v>
      </c>
      <c r="R37">
        <v>19318.181818181816</v>
      </c>
      <c r="S37">
        <v>19318.181818181816</v>
      </c>
      <c r="T37">
        <v>19318.181818181816</v>
      </c>
      <c r="U37">
        <v>19318.181818181816</v>
      </c>
      <c r="V37">
        <v>19318.181818181816</v>
      </c>
      <c r="W37">
        <v>19318.181818181816</v>
      </c>
      <c r="X37">
        <v>19318.181818181816</v>
      </c>
      <c r="Y37">
        <v>19318.181818181816</v>
      </c>
      <c r="Z37">
        <v>19318.181818181816</v>
      </c>
      <c r="AA37">
        <v>19318.181818181816</v>
      </c>
      <c r="AB37">
        <v>19318.181818181816</v>
      </c>
      <c r="AC37">
        <v>19318.181818181816</v>
      </c>
      <c r="AD37">
        <v>19318.181818181816</v>
      </c>
      <c r="AE37">
        <v>19318.181818181816</v>
      </c>
      <c r="AF37">
        <v>19318.181818181816</v>
      </c>
      <c r="AG37">
        <v>19318.181818181816</v>
      </c>
      <c r="AH37">
        <v>19318.181818181816</v>
      </c>
      <c r="AI37">
        <v>19318.181818181816</v>
      </c>
      <c r="AJ37">
        <v>19318.181818181816</v>
      </c>
    </row>
    <row r="38" spans="1:41" x14ac:dyDescent="0.3">
      <c r="A38" t="s">
        <v>18</v>
      </c>
      <c r="C38" s="67"/>
      <c r="D38" s="67"/>
      <c r="E38" s="67">
        <f>-AVERAGE(F38:AJ38)</f>
        <v>1738.2004478402898</v>
      </c>
      <c r="F38">
        <f>G38/2</f>
        <v>1253.4749999999999</v>
      </c>
      <c r="G38">
        <v>2506.9499999999998</v>
      </c>
      <c r="H38">
        <v>1665.6666666666642</v>
      </c>
      <c r="I38">
        <v>782.39393939393631</v>
      </c>
      <c r="J38">
        <v>-145.10606060606369</v>
      </c>
      <c r="K38">
        <v>-1119.1666666666715</v>
      </c>
      <c r="L38">
        <v>-2141.1666666666715</v>
      </c>
      <c r="M38">
        <v>-2361.9691706320918</v>
      </c>
      <c r="N38">
        <v>-2361.9691706320918</v>
      </c>
      <c r="O38">
        <v>-2361.9691706320918</v>
      </c>
      <c r="P38">
        <v>-2361.9691706320918</v>
      </c>
      <c r="Q38">
        <v>-2361.9691706320918</v>
      </c>
      <c r="R38">
        <v>-2361.9691706320918</v>
      </c>
      <c r="S38">
        <v>-2361.9691706320918</v>
      </c>
      <c r="T38">
        <v>-2361.9691706320918</v>
      </c>
      <c r="U38">
        <v>-2361.9691706320918</v>
      </c>
      <c r="V38">
        <v>-2361.9691706320918</v>
      </c>
      <c r="W38">
        <v>-2361.9691706320918</v>
      </c>
      <c r="X38">
        <v>-2361.9691706320918</v>
      </c>
      <c r="Y38">
        <v>-2361.9691706320918</v>
      </c>
      <c r="Z38">
        <v>-2361.9691706320918</v>
      </c>
      <c r="AA38">
        <v>-2361.9691706320918</v>
      </c>
      <c r="AB38">
        <v>-2361.9691706320918</v>
      </c>
      <c r="AC38">
        <v>-2361.9691706320918</v>
      </c>
      <c r="AD38">
        <v>-2361.9691706320918</v>
      </c>
      <c r="AE38">
        <v>-2361.9691706320918</v>
      </c>
      <c r="AF38">
        <v>-2361.9691706320918</v>
      </c>
      <c r="AG38">
        <v>-2361.9691706320918</v>
      </c>
      <c r="AH38">
        <v>-2361.9691706320918</v>
      </c>
      <c r="AI38">
        <v>-2361.9691706320918</v>
      </c>
      <c r="AJ38">
        <v>-2361.9691706320918</v>
      </c>
    </row>
    <row r="39" spans="1:41" x14ac:dyDescent="0.3">
      <c r="A39" t="s">
        <v>98</v>
      </c>
      <c r="C39" s="67"/>
      <c r="D39" s="67"/>
      <c r="E39" s="67" t="s">
        <v>99</v>
      </c>
      <c r="F39">
        <f>'BCA Values'!B9</f>
        <v>16500</v>
      </c>
      <c r="G39" s="10">
        <f>'BCA Values'!B12</f>
        <v>17400</v>
      </c>
      <c r="H39" s="10">
        <v>17700</v>
      </c>
      <c r="I39" s="10">
        <v>18100</v>
      </c>
      <c r="J39" s="10">
        <v>18100</v>
      </c>
      <c r="K39" s="10">
        <v>18100</v>
      </c>
      <c r="L39" s="10">
        <v>18100</v>
      </c>
      <c r="M39" s="10">
        <v>18100</v>
      </c>
      <c r="N39" s="10">
        <v>18100</v>
      </c>
      <c r="O39" s="10">
        <v>18100</v>
      </c>
      <c r="P39" s="10">
        <v>18100</v>
      </c>
      <c r="Q39" s="10">
        <v>18100</v>
      </c>
      <c r="R39" s="10">
        <v>18100</v>
      </c>
      <c r="S39" s="10">
        <v>18100</v>
      </c>
      <c r="T39" s="10">
        <v>18100</v>
      </c>
      <c r="U39" s="10">
        <v>18100</v>
      </c>
      <c r="V39" s="10">
        <v>18100</v>
      </c>
      <c r="W39" s="10">
        <v>18100</v>
      </c>
      <c r="X39" s="10">
        <v>18100</v>
      </c>
      <c r="Y39" s="10">
        <v>18100</v>
      </c>
      <c r="Z39" s="10">
        <v>18100</v>
      </c>
      <c r="AA39" s="10">
        <v>18100</v>
      </c>
      <c r="AB39" s="10">
        <v>18100</v>
      </c>
      <c r="AC39" s="10">
        <v>18100</v>
      </c>
      <c r="AD39" s="10">
        <v>18100</v>
      </c>
      <c r="AE39" s="10">
        <v>18100</v>
      </c>
      <c r="AF39" s="10">
        <v>18100</v>
      </c>
      <c r="AG39" s="10">
        <v>18100</v>
      </c>
      <c r="AH39" s="10">
        <v>18100</v>
      </c>
      <c r="AI39" s="10">
        <v>18100</v>
      </c>
      <c r="AJ39" s="10">
        <v>18100</v>
      </c>
    </row>
    <row r="40" spans="1:41" x14ac:dyDescent="0.3">
      <c r="A40" t="s">
        <v>100</v>
      </c>
      <c r="C40" s="67"/>
      <c r="D40" s="67"/>
      <c r="E40" s="67"/>
      <c r="F40">
        <f>'BCA Values'!E9</f>
        <v>56</v>
      </c>
      <c r="G40" s="10">
        <f>'BCA Values'!E12</f>
        <v>60</v>
      </c>
      <c r="H40" s="10">
        <v>61</v>
      </c>
      <c r="I40" s="10">
        <v>62</v>
      </c>
      <c r="J40" s="10">
        <v>63</v>
      </c>
      <c r="K40" s="10">
        <v>64</v>
      </c>
      <c r="L40" s="10">
        <v>65</v>
      </c>
      <c r="M40" s="10">
        <v>66</v>
      </c>
      <c r="N40" s="10">
        <v>67</v>
      </c>
      <c r="O40" s="10">
        <v>69</v>
      </c>
      <c r="P40" s="10">
        <v>70</v>
      </c>
      <c r="Q40" s="10">
        <v>71</v>
      </c>
      <c r="R40" s="10">
        <v>72</v>
      </c>
      <c r="S40" s="10">
        <v>73</v>
      </c>
      <c r="T40" s="10">
        <v>74</v>
      </c>
      <c r="U40" s="10">
        <v>75</v>
      </c>
      <c r="V40" s="10">
        <v>77</v>
      </c>
      <c r="W40" s="10">
        <v>78</v>
      </c>
      <c r="X40" s="10">
        <v>79</v>
      </c>
      <c r="Y40" s="10">
        <v>80</v>
      </c>
      <c r="Z40" s="10">
        <v>81</v>
      </c>
      <c r="AA40" s="10">
        <v>82</v>
      </c>
      <c r="AB40" s="10">
        <v>83</v>
      </c>
      <c r="AC40" s="10">
        <v>85</v>
      </c>
      <c r="AD40" s="10">
        <v>85</v>
      </c>
      <c r="AE40" s="10">
        <v>85</v>
      </c>
      <c r="AF40" s="10">
        <v>85</v>
      </c>
      <c r="AG40" s="10">
        <v>85</v>
      </c>
      <c r="AH40" s="10">
        <v>85</v>
      </c>
      <c r="AI40" s="10">
        <v>85</v>
      </c>
      <c r="AJ40" s="10">
        <v>85</v>
      </c>
    </row>
    <row r="41" spans="1:41" x14ac:dyDescent="0.3">
      <c r="A41" t="s">
        <v>101</v>
      </c>
      <c r="C41" s="67"/>
      <c r="D41" s="67"/>
      <c r="E41" s="67"/>
      <c r="F41">
        <f>'BCA Values'!D9</f>
        <v>801700</v>
      </c>
      <c r="G41" s="10">
        <f>'BCA Values'!D12</f>
        <v>840600</v>
      </c>
      <c r="H41" s="10">
        <v>854000</v>
      </c>
      <c r="I41" s="10">
        <v>867600</v>
      </c>
      <c r="J41" s="10">
        <v>867600</v>
      </c>
      <c r="K41" s="10">
        <v>867600</v>
      </c>
      <c r="L41" s="10">
        <v>867600</v>
      </c>
      <c r="M41" s="10">
        <v>867600</v>
      </c>
      <c r="N41" s="10">
        <v>867600</v>
      </c>
      <c r="O41" s="10">
        <v>867600</v>
      </c>
      <c r="P41" s="10">
        <v>867600</v>
      </c>
      <c r="Q41" s="10">
        <v>867600</v>
      </c>
      <c r="R41" s="10">
        <v>867600</v>
      </c>
      <c r="S41" s="10">
        <v>867600</v>
      </c>
      <c r="T41" s="10">
        <v>867600</v>
      </c>
      <c r="U41" s="10">
        <v>867600</v>
      </c>
      <c r="V41" s="10">
        <v>867600</v>
      </c>
      <c r="W41" s="10">
        <v>867600</v>
      </c>
      <c r="X41" s="10">
        <v>867600</v>
      </c>
      <c r="Y41" s="10">
        <v>867600</v>
      </c>
      <c r="Z41" s="10">
        <v>867600</v>
      </c>
      <c r="AA41" s="10">
        <v>867600</v>
      </c>
      <c r="AB41" s="10">
        <v>867600</v>
      </c>
      <c r="AC41" s="10">
        <v>867600</v>
      </c>
      <c r="AD41" s="10">
        <v>867600</v>
      </c>
      <c r="AE41" s="10">
        <v>867600</v>
      </c>
      <c r="AF41" s="10">
        <v>867600</v>
      </c>
      <c r="AG41" s="10">
        <v>867600</v>
      </c>
      <c r="AH41" s="10">
        <v>867600</v>
      </c>
      <c r="AI41" s="10">
        <v>867600</v>
      </c>
      <c r="AJ41" s="10">
        <v>867600</v>
      </c>
    </row>
    <row r="42" spans="1:41" x14ac:dyDescent="0.3">
      <c r="A42" s="14" t="s">
        <v>77</v>
      </c>
      <c r="C42" s="21">
        <f t="shared" ref="C42:C47" si="1">-NPV($C$32, G42:AJ42)</f>
        <v>29767.860151277182</v>
      </c>
      <c r="D42" s="21">
        <f t="shared" ref="D42:D47" si="2">-NPV($D$32, G42:AJ42)</f>
        <v>14993.268479650285</v>
      </c>
      <c r="E42" s="21">
        <f t="shared" ref="E42:E47" si="3">-SUM(G42:AJ42)</f>
        <v>51829.427550066051</v>
      </c>
      <c r="F42" s="16">
        <f t="shared" ref="F42" si="4">F38*$C$13</f>
        <v>1178.2665</v>
      </c>
      <c r="G42" s="16">
        <f t="shared" ref="G42:AJ42" si="5">G38*$C$13</f>
        <v>2356.5329999999999</v>
      </c>
      <c r="H42" s="16">
        <f t="shared" si="5"/>
        <v>1565.7266666666642</v>
      </c>
      <c r="I42" s="16">
        <f t="shared" si="5"/>
        <v>735.45030303030012</v>
      </c>
      <c r="J42" s="16">
        <f t="shared" si="5"/>
        <v>-136.39969696969987</v>
      </c>
      <c r="K42" s="16">
        <f t="shared" si="5"/>
        <v>-1052.0166666666712</v>
      </c>
      <c r="L42" s="16">
        <f t="shared" si="5"/>
        <v>-2012.696666666671</v>
      </c>
      <c r="M42" s="16">
        <f t="shared" si="5"/>
        <v>-2220.2510203941661</v>
      </c>
      <c r="N42" s="16">
        <f t="shared" si="5"/>
        <v>-2220.2510203941661</v>
      </c>
      <c r="O42" s="16">
        <f t="shared" si="5"/>
        <v>-2220.2510203941661</v>
      </c>
      <c r="P42" s="16">
        <f t="shared" si="5"/>
        <v>-2220.2510203941661</v>
      </c>
      <c r="Q42" s="16">
        <f t="shared" si="5"/>
        <v>-2220.2510203941661</v>
      </c>
      <c r="R42" s="16">
        <f t="shared" si="5"/>
        <v>-2220.2510203941661</v>
      </c>
      <c r="S42" s="16">
        <f t="shared" si="5"/>
        <v>-2220.2510203941661</v>
      </c>
      <c r="T42" s="16">
        <f t="shared" si="5"/>
        <v>-2220.2510203941661</v>
      </c>
      <c r="U42" s="16">
        <f t="shared" si="5"/>
        <v>-2220.2510203941661</v>
      </c>
      <c r="V42" s="16">
        <f t="shared" si="5"/>
        <v>-2220.2510203941661</v>
      </c>
      <c r="W42" s="16">
        <f t="shared" si="5"/>
        <v>-2220.2510203941661</v>
      </c>
      <c r="X42" s="16">
        <f t="shared" si="5"/>
        <v>-2220.2510203941661</v>
      </c>
      <c r="Y42" s="16">
        <f t="shared" si="5"/>
        <v>-2220.2510203941661</v>
      </c>
      <c r="Z42" s="16">
        <f t="shared" si="5"/>
        <v>-2220.2510203941661</v>
      </c>
      <c r="AA42" s="16">
        <f t="shared" si="5"/>
        <v>-2220.2510203941661</v>
      </c>
      <c r="AB42" s="16">
        <f t="shared" si="5"/>
        <v>-2220.2510203941661</v>
      </c>
      <c r="AC42" s="16">
        <f t="shared" si="5"/>
        <v>-2220.2510203941661</v>
      </c>
      <c r="AD42" s="16">
        <f t="shared" si="5"/>
        <v>-2220.2510203941661</v>
      </c>
      <c r="AE42" s="16">
        <f t="shared" si="5"/>
        <v>-2220.2510203941661</v>
      </c>
      <c r="AF42" s="16">
        <f t="shared" si="5"/>
        <v>-2220.2510203941661</v>
      </c>
      <c r="AG42" s="16">
        <f t="shared" si="5"/>
        <v>-2220.2510203941661</v>
      </c>
      <c r="AH42" s="16">
        <f t="shared" si="5"/>
        <v>-2220.2510203941661</v>
      </c>
      <c r="AI42" s="16">
        <f t="shared" si="5"/>
        <v>-2220.2510203941661</v>
      </c>
      <c r="AJ42" s="16">
        <f t="shared" si="5"/>
        <v>-2220.2510203941661</v>
      </c>
      <c r="AK42" s="16"/>
    </row>
    <row r="43" spans="1:41" x14ac:dyDescent="0.3">
      <c r="A43" s="14" t="s">
        <v>29</v>
      </c>
      <c r="C43" s="21">
        <f t="shared" si="1"/>
        <v>4579.1107936300677</v>
      </c>
      <c r="D43" s="21">
        <f t="shared" si="2"/>
        <v>2306.3746328442235</v>
      </c>
      <c r="E43" s="21">
        <f t="shared" si="3"/>
        <v>7972.7830591811089</v>
      </c>
      <c r="F43" s="16">
        <f t="shared" ref="F43" si="6">(F38/$B$5)*$C$5</f>
        <v>181.24960344827585</v>
      </c>
      <c r="G43" s="16">
        <f t="shared" ref="G43:AJ43" si="7">(G38/$B$5)*$C$5</f>
        <v>362.4992068965517</v>
      </c>
      <c r="H43" s="16">
        <f t="shared" si="7"/>
        <v>240.85157088122571</v>
      </c>
      <c r="I43" s="16">
        <f t="shared" si="7"/>
        <v>113.13236502960596</v>
      </c>
      <c r="J43" s="16">
        <f t="shared" si="7"/>
        <v>-20.982002786485992</v>
      </c>
      <c r="K43" s="16">
        <f t="shared" si="7"/>
        <v>-161.82892720306583</v>
      </c>
      <c r="L43" s="16">
        <f t="shared" si="7"/>
        <v>-309.60777777777849</v>
      </c>
      <c r="M43" s="16">
        <f t="shared" si="7"/>
        <v>-341.53531225921512</v>
      </c>
      <c r="N43" s="16">
        <f t="shared" si="7"/>
        <v>-341.53531225921512</v>
      </c>
      <c r="O43" s="16">
        <f t="shared" si="7"/>
        <v>-341.53531225921512</v>
      </c>
      <c r="P43" s="16">
        <f t="shared" si="7"/>
        <v>-341.53531225921512</v>
      </c>
      <c r="Q43" s="16">
        <f t="shared" si="7"/>
        <v>-341.53531225921512</v>
      </c>
      <c r="R43" s="16">
        <f t="shared" si="7"/>
        <v>-341.53531225921512</v>
      </c>
      <c r="S43" s="16">
        <f t="shared" si="7"/>
        <v>-341.53531225921512</v>
      </c>
      <c r="T43" s="16">
        <f t="shared" si="7"/>
        <v>-341.53531225921512</v>
      </c>
      <c r="U43" s="16">
        <f t="shared" si="7"/>
        <v>-341.53531225921512</v>
      </c>
      <c r="V43" s="16">
        <f t="shared" si="7"/>
        <v>-341.53531225921512</v>
      </c>
      <c r="W43" s="16">
        <f t="shared" si="7"/>
        <v>-341.53531225921512</v>
      </c>
      <c r="X43" s="16">
        <f t="shared" si="7"/>
        <v>-341.53531225921512</v>
      </c>
      <c r="Y43" s="16">
        <f t="shared" si="7"/>
        <v>-341.53531225921512</v>
      </c>
      <c r="Z43" s="16">
        <f t="shared" si="7"/>
        <v>-341.53531225921512</v>
      </c>
      <c r="AA43" s="16">
        <f t="shared" si="7"/>
        <v>-341.53531225921512</v>
      </c>
      <c r="AB43" s="16">
        <f t="shared" si="7"/>
        <v>-341.53531225921512</v>
      </c>
      <c r="AC43" s="16">
        <f t="shared" si="7"/>
        <v>-341.53531225921512</v>
      </c>
      <c r="AD43" s="16">
        <f t="shared" si="7"/>
        <v>-341.53531225921512</v>
      </c>
      <c r="AE43" s="16">
        <f t="shared" si="7"/>
        <v>-341.53531225921512</v>
      </c>
      <c r="AF43" s="16">
        <f t="shared" si="7"/>
        <v>-341.53531225921512</v>
      </c>
      <c r="AG43" s="16">
        <f t="shared" si="7"/>
        <v>-341.53531225921512</v>
      </c>
      <c r="AH43" s="16">
        <f t="shared" si="7"/>
        <v>-341.53531225921512</v>
      </c>
      <c r="AI43" s="16">
        <f t="shared" si="7"/>
        <v>-341.53531225921512</v>
      </c>
      <c r="AJ43" s="16">
        <f t="shared" si="7"/>
        <v>-341.53531225921512</v>
      </c>
    </row>
    <row r="44" spans="1:41" x14ac:dyDescent="0.3">
      <c r="A44" s="14" t="s">
        <v>102</v>
      </c>
      <c r="C44" s="21">
        <f t="shared" si="1"/>
        <v>1946.7645532304327</v>
      </c>
      <c r="D44" s="21">
        <f t="shared" si="2"/>
        <v>979.33181298579098</v>
      </c>
      <c r="E44" s="21">
        <f t="shared" si="3"/>
        <v>3403.3825225115552</v>
      </c>
      <c r="F44" s="16">
        <f t="shared" ref="F44" si="8">(F38*$C$20*F39)+(F38*$C$22*F40)+(F38*$C$23*F41)</f>
        <v>62.644920075000002</v>
      </c>
      <c r="G44" s="16">
        <f t="shared" ref="G44:AJ44" si="9">(G38*$C$20*G39)+(G38*$C$22*G40)+(G38*$C$23*G41)</f>
        <v>132.83926937999999</v>
      </c>
      <c r="H44" s="16">
        <f t="shared" si="9"/>
        <v>89.723133799999857</v>
      </c>
      <c r="I44" s="16">
        <f t="shared" si="9"/>
        <v>42.888175618181648</v>
      </c>
      <c r="J44" s="16">
        <f t="shared" si="9"/>
        <v>-8.0128437303032012</v>
      </c>
      <c r="K44" s="16">
        <f t="shared" si="9"/>
        <v>-62.253198166666934</v>
      </c>
      <c r="L44" s="16">
        <f t="shared" si="9"/>
        <v>-119.96657070000026</v>
      </c>
      <c r="M44" s="16">
        <f t="shared" si="9"/>
        <v>-133.2920614186126</v>
      </c>
      <c r="N44" s="16">
        <f t="shared" si="9"/>
        <v>-134.24629696354793</v>
      </c>
      <c r="O44" s="16">
        <f t="shared" si="9"/>
        <v>-136.15476805341871</v>
      </c>
      <c r="P44" s="16">
        <f t="shared" si="9"/>
        <v>-137.10900359835404</v>
      </c>
      <c r="Q44" s="16">
        <f t="shared" si="9"/>
        <v>-138.06323914328942</v>
      </c>
      <c r="R44" s="16">
        <f t="shared" si="9"/>
        <v>-139.01747468822481</v>
      </c>
      <c r="S44" s="16">
        <f t="shared" si="9"/>
        <v>-139.97171023316014</v>
      </c>
      <c r="T44" s="16">
        <f t="shared" si="9"/>
        <v>-140.92594577809552</v>
      </c>
      <c r="U44" s="16">
        <f t="shared" si="9"/>
        <v>-141.88018132303085</v>
      </c>
      <c r="V44" s="16">
        <f t="shared" si="9"/>
        <v>-143.78865241290163</v>
      </c>
      <c r="W44" s="16">
        <f t="shared" si="9"/>
        <v>-144.74288795783696</v>
      </c>
      <c r="X44" s="16">
        <f t="shared" si="9"/>
        <v>-145.69712350277234</v>
      </c>
      <c r="Y44" s="16">
        <f t="shared" si="9"/>
        <v>-146.65135904770773</v>
      </c>
      <c r="Z44" s="16">
        <f t="shared" si="9"/>
        <v>-147.60559459264306</v>
      </c>
      <c r="AA44" s="16">
        <f t="shared" si="9"/>
        <v>-148.55983013757844</v>
      </c>
      <c r="AB44" s="16">
        <f t="shared" si="9"/>
        <v>-149.51406568251377</v>
      </c>
      <c r="AC44" s="16">
        <f t="shared" si="9"/>
        <v>-151.42253677238455</v>
      </c>
      <c r="AD44" s="16">
        <f t="shared" si="9"/>
        <v>-151.42253677238455</v>
      </c>
      <c r="AE44" s="16">
        <f t="shared" si="9"/>
        <v>-151.42253677238455</v>
      </c>
      <c r="AF44" s="16">
        <f t="shared" si="9"/>
        <v>-151.42253677238455</v>
      </c>
      <c r="AG44" s="16">
        <f t="shared" si="9"/>
        <v>-151.42253677238455</v>
      </c>
      <c r="AH44" s="16">
        <f t="shared" si="9"/>
        <v>-151.42253677238455</v>
      </c>
      <c r="AI44" s="16">
        <f t="shared" si="9"/>
        <v>-151.42253677238455</v>
      </c>
      <c r="AJ44" s="16">
        <f t="shared" si="9"/>
        <v>-151.42253677238455</v>
      </c>
    </row>
    <row r="45" spans="1:41" x14ac:dyDescent="0.3">
      <c r="A45" s="14" t="s">
        <v>103</v>
      </c>
      <c r="C45" s="21">
        <f t="shared" si="1"/>
        <v>4695.4673056535812</v>
      </c>
      <c r="D45" s="21">
        <f t="shared" si="2"/>
        <v>2364.9802704432477</v>
      </c>
      <c r="E45" s="21">
        <f t="shared" si="3"/>
        <v>8175.3737519367769</v>
      </c>
      <c r="F45" s="16">
        <f>F38*$C$28*'BCA Values'!$H$15</f>
        <v>185.85520759574999</v>
      </c>
      <c r="G45" s="16">
        <f>G38*$C$28*'BCA Values'!$H$15</f>
        <v>371.71041519149998</v>
      </c>
      <c r="H45" s="16">
        <f>H38*$C$28*'BCA Values'!$H$15</f>
        <v>246.97167802999968</v>
      </c>
      <c r="I45" s="16">
        <f>I38*$C$28*'BCA Values'!$H$15</f>
        <v>116.00709070999956</v>
      </c>
      <c r="J45" s="16">
        <f>J38*$C$28*'BCA Values'!$H$15</f>
        <v>-21.51516146500046</v>
      </c>
      <c r="K45" s="16">
        <f>K38*$C$28*'BCA Values'!$H$15</f>
        <v>-165.94104642500074</v>
      </c>
      <c r="L45" s="16">
        <f>L38*$C$28*'BCA Values'!$H$15</f>
        <v>-317.47499976500075</v>
      </c>
      <c r="M45" s="16">
        <f>M38*$C$28*'BCA Values'!$H$15</f>
        <v>-350.21382200888644</v>
      </c>
      <c r="N45" s="16">
        <f>N38*$C$28*'BCA Values'!$H$15</f>
        <v>-350.21382200888644</v>
      </c>
      <c r="O45" s="16">
        <f>O38*$C$28*'BCA Values'!$H$15</f>
        <v>-350.21382200888644</v>
      </c>
      <c r="P45" s="16">
        <f>P38*$C$28*'BCA Values'!$H$15</f>
        <v>-350.21382200888644</v>
      </c>
      <c r="Q45" s="16">
        <f>Q38*$C$28*'BCA Values'!$H$15</f>
        <v>-350.21382200888644</v>
      </c>
      <c r="R45" s="16">
        <f>R38*$C$28*'BCA Values'!$H$15</f>
        <v>-350.21382200888644</v>
      </c>
      <c r="S45" s="16">
        <f>S38*$C$28*'BCA Values'!$H$15</f>
        <v>-350.21382200888644</v>
      </c>
      <c r="T45" s="16">
        <f>T38*$C$28*'BCA Values'!$H$15</f>
        <v>-350.21382200888644</v>
      </c>
      <c r="U45" s="16">
        <f>U38*$C$28*'BCA Values'!$H$15</f>
        <v>-350.21382200888644</v>
      </c>
      <c r="V45" s="16">
        <f>V38*$C$28*'BCA Values'!$H$15</f>
        <v>-350.21382200888644</v>
      </c>
      <c r="W45" s="16">
        <f>W38*$C$28*'BCA Values'!$H$15</f>
        <v>-350.21382200888644</v>
      </c>
      <c r="X45" s="16">
        <f>X38*$C$28*'BCA Values'!$H$15</f>
        <v>-350.21382200888644</v>
      </c>
      <c r="Y45" s="16">
        <f>Y38*$C$28*'BCA Values'!$H$15</f>
        <v>-350.21382200888644</v>
      </c>
      <c r="Z45" s="16">
        <f>Z38*$C$28*'BCA Values'!$H$15</f>
        <v>-350.21382200888644</v>
      </c>
      <c r="AA45" s="16">
        <f>AA38*$C$28*'BCA Values'!$H$15</f>
        <v>-350.21382200888644</v>
      </c>
      <c r="AB45" s="16">
        <f>AB38*$C$28*'BCA Values'!$H$15</f>
        <v>-350.21382200888644</v>
      </c>
      <c r="AC45" s="16">
        <f>AC38*$C$28*'BCA Values'!$H$15</f>
        <v>-350.21382200888644</v>
      </c>
      <c r="AD45" s="16">
        <f>AD38*$C$28*'BCA Values'!$H$15</f>
        <v>-350.21382200888644</v>
      </c>
      <c r="AE45" s="16">
        <f>AE38*$C$28*'BCA Values'!$H$15</f>
        <v>-350.21382200888644</v>
      </c>
      <c r="AF45" s="16">
        <f>AF38*$C$28*'BCA Values'!$H$15</f>
        <v>-350.21382200888644</v>
      </c>
      <c r="AG45" s="16">
        <f>AG38*$C$28*'BCA Values'!$H$15</f>
        <v>-350.21382200888644</v>
      </c>
      <c r="AH45" s="16">
        <f>AH38*$C$28*'BCA Values'!$H$15</f>
        <v>-350.21382200888644</v>
      </c>
      <c r="AI45" s="16">
        <f>AI38*$C$28*'BCA Values'!$H$15</f>
        <v>-350.21382200888644</v>
      </c>
      <c r="AJ45" s="16">
        <f>AJ38*$C$28*'BCA Values'!$H$15</f>
        <v>-350.21382200888644</v>
      </c>
    </row>
    <row r="46" spans="1:41" x14ac:dyDescent="0.3">
      <c r="A46" s="14" t="s">
        <v>104</v>
      </c>
      <c r="C46" s="21">
        <f t="shared" si="1"/>
        <v>8384.8778420791641</v>
      </c>
      <c r="D46" s="21">
        <f t="shared" si="2"/>
        <v>4223.2368741483033</v>
      </c>
      <c r="E46" s="21">
        <f t="shared" si="3"/>
        <v>14599.081574009297</v>
      </c>
      <c r="F46" s="16">
        <f>F38*$B$28*'BCA Values'!$H$14</f>
        <v>331.88884312499999</v>
      </c>
      <c r="G46" s="16">
        <f>G38*$B$28*'BCA Values'!$H$14</f>
        <v>663.77768624999999</v>
      </c>
      <c r="H46" s="16">
        <f>H38*$B$28*'BCA Values'!$H$14</f>
        <v>441.02689166666602</v>
      </c>
      <c r="I46" s="16">
        <f>I38*$B$28*'BCA Values'!$H$14</f>
        <v>207.15835530302948</v>
      </c>
      <c r="J46" s="16">
        <f>J38*$B$28*'BCA Values'!$H$14</f>
        <v>-38.420457196970517</v>
      </c>
      <c r="K46" s="16">
        <f>K38*$B$28*'BCA Values'!$H$14</f>
        <v>-296.32735416666799</v>
      </c>
      <c r="L46" s="16">
        <f>L38*$B$28*'BCA Values'!$H$14</f>
        <v>-566.92740416666788</v>
      </c>
      <c r="M46" s="16">
        <f>M38*$B$28*'BCA Values'!$H$14</f>
        <v>-625.39038715411209</v>
      </c>
      <c r="N46" s="16">
        <f>N38*$B$28*'BCA Values'!$H$14</f>
        <v>-625.39038715411209</v>
      </c>
      <c r="O46" s="16">
        <f>O38*$B$28*'BCA Values'!$H$14</f>
        <v>-625.39038715411209</v>
      </c>
      <c r="P46" s="16">
        <f>P38*$B$28*'BCA Values'!$H$14</f>
        <v>-625.39038715411209</v>
      </c>
      <c r="Q46" s="16">
        <f>Q38*$B$28*'BCA Values'!$H$14</f>
        <v>-625.39038715411209</v>
      </c>
      <c r="R46" s="16">
        <f>R38*$B$28*'BCA Values'!$H$14</f>
        <v>-625.39038715411209</v>
      </c>
      <c r="S46" s="16">
        <f>S38*$B$28*'BCA Values'!$H$14</f>
        <v>-625.39038715411209</v>
      </c>
      <c r="T46" s="16">
        <f>T38*$B$28*'BCA Values'!$H$14</f>
        <v>-625.39038715411209</v>
      </c>
      <c r="U46" s="16">
        <f>U38*$B$28*'BCA Values'!$H$14</f>
        <v>-625.39038715411209</v>
      </c>
      <c r="V46" s="16">
        <f>V38*$B$28*'BCA Values'!$H$14</f>
        <v>-625.39038715411209</v>
      </c>
      <c r="W46" s="16">
        <f>W38*$B$28*'BCA Values'!$H$14</f>
        <v>-625.39038715411209</v>
      </c>
      <c r="X46" s="16">
        <f>X38*$B$28*'BCA Values'!$H$14</f>
        <v>-625.39038715411209</v>
      </c>
      <c r="Y46" s="16">
        <f>Y38*$B$28*'BCA Values'!$H$14</f>
        <v>-625.39038715411209</v>
      </c>
      <c r="Z46" s="16">
        <f>Z38*$B$28*'BCA Values'!$H$14</f>
        <v>-625.39038715411209</v>
      </c>
      <c r="AA46" s="16">
        <f>AA38*$B$28*'BCA Values'!$H$14</f>
        <v>-625.39038715411209</v>
      </c>
      <c r="AB46" s="16">
        <f>AB38*$B$28*'BCA Values'!$H$14</f>
        <v>-625.39038715411209</v>
      </c>
      <c r="AC46" s="16">
        <f>AC38*$B$28*'BCA Values'!$H$14</f>
        <v>-625.39038715411209</v>
      </c>
      <c r="AD46" s="16">
        <f>AD38*$B$28*'BCA Values'!$H$14</f>
        <v>-625.39038715411209</v>
      </c>
      <c r="AE46" s="16">
        <f>AE38*$B$28*'BCA Values'!$H$14</f>
        <v>-625.39038715411209</v>
      </c>
      <c r="AF46" s="16">
        <f>AF38*$B$28*'BCA Values'!$H$14</f>
        <v>-625.39038715411209</v>
      </c>
      <c r="AG46" s="16">
        <f>AG38*$B$28*'BCA Values'!$H$14</f>
        <v>-625.39038715411209</v>
      </c>
      <c r="AH46" s="16">
        <f>AH38*$B$28*'BCA Values'!$H$14</f>
        <v>-625.39038715411209</v>
      </c>
      <c r="AI46" s="16">
        <f>AI38*$B$28*'BCA Values'!$H$14</f>
        <v>-625.39038715411209</v>
      </c>
      <c r="AJ46" s="16">
        <f>AJ38*$B$28*'BCA Values'!$H$14</f>
        <v>-625.39038715411209</v>
      </c>
    </row>
    <row r="47" spans="1:41" x14ac:dyDescent="0.3">
      <c r="A47" s="14" t="s">
        <v>105</v>
      </c>
      <c r="C47" s="21">
        <f t="shared" si="1"/>
        <v>212.66167506712375</v>
      </c>
      <c r="D47" s="21">
        <f t="shared" si="2"/>
        <v>107.11195139354803</v>
      </c>
      <c r="E47" s="21">
        <f t="shared" si="3"/>
        <v>370.26957344444111</v>
      </c>
      <c r="F47" s="16">
        <f>F38*$D$28*'BCA Values'!$H$20</f>
        <v>8.4175391275051528</v>
      </c>
      <c r="G47" s="16">
        <f>G38*$D$28*'BCA Values'!$H$20</f>
        <v>16.835078255010306</v>
      </c>
      <c r="H47" s="16">
        <f>H38*$D$28*'BCA Values'!$H$20</f>
        <v>11.185555627394027</v>
      </c>
      <c r="I47" s="16">
        <f>I38*$D$28*'BCA Values'!$H$20</f>
        <v>5.2540589943727269</v>
      </c>
      <c r="J47" s="16">
        <f>J38*$D$28*'BCA Values'!$H$20</f>
        <v>-0.97443981155561565</v>
      </c>
      <c r="K47" s="16">
        <f>K38*$D$28*'BCA Values'!$H$20</f>
        <v>-7.5156099697769996</v>
      </c>
      <c r="L47" s="16">
        <f>L38*$D$28*'BCA Values'!$H$20</f>
        <v>-14.378710540837664</v>
      </c>
      <c r="M47" s="16">
        <f>M38*$D$28*'BCA Values'!$H$20</f>
        <v>-15.861479416627001</v>
      </c>
      <c r="N47" s="16">
        <f>N38*$D$28*'BCA Values'!$H$20</f>
        <v>-15.861479416627001</v>
      </c>
      <c r="O47" s="16">
        <f>O38*$D$28*'BCA Values'!$H$20</f>
        <v>-15.861479416627001</v>
      </c>
      <c r="P47" s="16">
        <f>P38*$D$28*'BCA Values'!$H$20</f>
        <v>-15.861479416627001</v>
      </c>
      <c r="Q47" s="16">
        <f>Q38*$D$28*'BCA Values'!$H$20</f>
        <v>-15.861479416627001</v>
      </c>
      <c r="R47" s="16">
        <f>R38*$D$28*'BCA Values'!$H$20</f>
        <v>-15.861479416627001</v>
      </c>
      <c r="S47" s="16">
        <f>S38*$D$28*'BCA Values'!$H$20</f>
        <v>-15.861479416627001</v>
      </c>
      <c r="T47" s="16">
        <f>T38*$D$28*'BCA Values'!$H$20</f>
        <v>-15.861479416627001</v>
      </c>
      <c r="U47" s="16">
        <f>U38*$D$28*'BCA Values'!$H$20</f>
        <v>-15.861479416627001</v>
      </c>
      <c r="V47" s="16">
        <f>V38*$D$28*'BCA Values'!$H$20</f>
        <v>-15.861479416627001</v>
      </c>
      <c r="W47" s="16">
        <f>W38*$D$28*'BCA Values'!$H$20</f>
        <v>-15.861479416627001</v>
      </c>
      <c r="X47" s="16">
        <f>X38*$D$28*'BCA Values'!$H$20</f>
        <v>-15.861479416627001</v>
      </c>
      <c r="Y47" s="16">
        <f>Y38*$D$28*'BCA Values'!$H$20</f>
        <v>-15.861479416627001</v>
      </c>
      <c r="Z47" s="16">
        <f>Z38*$D$28*'BCA Values'!$H$20</f>
        <v>-15.861479416627001</v>
      </c>
      <c r="AA47" s="16">
        <f>AA38*$D$28*'BCA Values'!$H$20</f>
        <v>-15.861479416627001</v>
      </c>
      <c r="AB47" s="16">
        <f>AB38*$D$28*'BCA Values'!$H$20</f>
        <v>-15.861479416627001</v>
      </c>
      <c r="AC47" s="16">
        <f>AC38*$D$28*'BCA Values'!$H$20</f>
        <v>-15.861479416627001</v>
      </c>
      <c r="AD47" s="16">
        <f>AD38*$D$28*'BCA Values'!$H$20</f>
        <v>-15.861479416627001</v>
      </c>
      <c r="AE47" s="16">
        <f>AE38*$D$28*'BCA Values'!$H$20</f>
        <v>-15.861479416627001</v>
      </c>
      <c r="AF47" s="16">
        <f>AF38*$D$28*'BCA Values'!$H$20</f>
        <v>-15.861479416627001</v>
      </c>
      <c r="AG47" s="16">
        <f>AG38*$D$28*'BCA Values'!$H$20</f>
        <v>-15.861479416627001</v>
      </c>
      <c r="AH47" s="16">
        <f>AH38*$D$28*'BCA Values'!$H$20</f>
        <v>-15.861479416627001</v>
      </c>
      <c r="AI47" s="16">
        <f>AI38*$D$28*'BCA Values'!$H$20</f>
        <v>-15.861479416627001</v>
      </c>
      <c r="AJ47" s="16">
        <f>AJ38*$D$28*'BCA Values'!$H$20</f>
        <v>-15.861479416627001</v>
      </c>
    </row>
    <row r="48" spans="1:41" x14ac:dyDescent="0.3">
      <c r="A48" s="14"/>
      <c r="B48" s="14"/>
      <c r="C48" s="65"/>
      <c r="D48" s="65"/>
      <c r="E48" s="65"/>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row>
    <row r="49" spans="1:36" x14ac:dyDescent="0.3">
      <c r="A49" s="14"/>
      <c r="B49" s="14"/>
      <c r="C49" s="65"/>
      <c r="D49" s="65" t="s">
        <v>31</v>
      </c>
      <c r="E49" s="115">
        <f>-SUM(F49:AJ49)</f>
        <v>3.6964570723771635E-2</v>
      </c>
      <c r="F49" s="55">
        <f>F$38*$C$20</f>
        <v>8.5988385000000005E-4</v>
      </c>
      <c r="G49" s="55">
        <f t="shared" ref="G49:AJ49" si="10">G$38*$C$20</f>
        <v>1.7197677000000001E-3</v>
      </c>
      <c r="H49" s="55">
        <f t="shared" si="10"/>
        <v>1.1426473333333317E-3</v>
      </c>
      <c r="I49" s="55">
        <f t="shared" si="10"/>
        <v>5.3672224242424041E-4</v>
      </c>
      <c r="J49" s="55">
        <f t="shared" si="10"/>
        <v>-9.954275757575971E-5</v>
      </c>
      <c r="K49" s="55">
        <f t="shared" si="10"/>
        <v>-7.677483333333368E-4</v>
      </c>
      <c r="L49" s="55">
        <f t="shared" si="10"/>
        <v>-1.4688403333333367E-3</v>
      </c>
      <c r="M49" s="55">
        <f t="shared" si="10"/>
        <v>-1.6203108510536152E-3</v>
      </c>
      <c r="N49" s="55">
        <f t="shared" si="10"/>
        <v>-1.6203108510536152E-3</v>
      </c>
      <c r="O49" s="55">
        <f t="shared" si="10"/>
        <v>-1.6203108510536152E-3</v>
      </c>
      <c r="P49" s="55">
        <f t="shared" si="10"/>
        <v>-1.6203108510536152E-3</v>
      </c>
      <c r="Q49" s="55">
        <f t="shared" si="10"/>
        <v>-1.6203108510536152E-3</v>
      </c>
      <c r="R49" s="55">
        <f t="shared" si="10"/>
        <v>-1.6203108510536152E-3</v>
      </c>
      <c r="S49" s="55">
        <f t="shared" si="10"/>
        <v>-1.6203108510536152E-3</v>
      </c>
      <c r="T49" s="55">
        <f t="shared" si="10"/>
        <v>-1.6203108510536152E-3</v>
      </c>
      <c r="U49" s="55">
        <f t="shared" si="10"/>
        <v>-1.6203108510536152E-3</v>
      </c>
      <c r="V49" s="55">
        <f t="shared" si="10"/>
        <v>-1.6203108510536152E-3</v>
      </c>
      <c r="W49" s="55">
        <f t="shared" si="10"/>
        <v>-1.6203108510536152E-3</v>
      </c>
      <c r="X49" s="55">
        <f t="shared" si="10"/>
        <v>-1.6203108510536152E-3</v>
      </c>
      <c r="Y49" s="55">
        <f t="shared" si="10"/>
        <v>-1.6203108510536152E-3</v>
      </c>
      <c r="Z49" s="55">
        <f t="shared" si="10"/>
        <v>-1.6203108510536152E-3</v>
      </c>
      <c r="AA49" s="55">
        <f t="shared" si="10"/>
        <v>-1.6203108510536152E-3</v>
      </c>
      <c r="AB49" s="55">
        <f t="shared" si="10"/>
        <v>-1.6203108510536152E-3</v>
      </c>
      <c r="AC49" s="55">
        <f t="shared" si="10"/>
        <v>-1.6203108510536152E-3</v>
      </c>
      <c r="AD49" s="55">
        <f t="shared" si="10"/>
        <v>-1.6203108510536152E-3</v>
      </c>
      <c r="AE49" s="55">
        <f t="shared" si="10"/>
        <v>-1.6203108510536152E-3</v>
      </c>
      <c r="AF49" s="55">
        <f t="shared" si="10"/>
        <v>-1.6203108510536152E-3</v>
      </c>
      <c r="AG49" s="55">
        <f t="shared" si="10"/>
        <v>-1.6203108510536152E-3</v>
      </c>
      <c r="AH49" s="55">
        <f t="shared" si="10"/>
        <v>-1.6203108510536152E-3</v>
      </c>
      <c r="AI49" s="55">
        <f t="shared" si="10"/>
        <v>-1.6203108510536152E-3</v>
      </c>
      <c r="AJ49" s="55">
        <f t="shared" si="10"/>
        <v>-1.6203108510536152E-3</v>
      </c>
    </row>
    <row r="50" spans="1:36" x14ac:dyDescent="0.3">
      <c r="A50" s="14"/>
      <c r="B50" s="14"/>
      <c r="C50" s="65"/>
      <c r="D50" s="65" t="s">
        <v>32</v>
      </c>
      <c r="E50" s="115">
        <f>-SUM(F50:AJ50)</f>
        <v>0</v>
      </c>
      <c r="F50" s="55">
        <f>F$38*$C$21</f>
        <v>0</v>
      </c>
      <c r="G50" s="55">
        <f t="shared" ref="G50:AJ50" si="11">G$38*$C$21</f>
        <v>0</v>
      </c>
      <c r="H50" s="55">
        <f t="shared" si="11"/>
        <v>0</v>
      </c>
      <c r="I50" s="55">
        <f t="shared" si="11"/>
        <v>0</v>
      </c>
      <c r="J50" s="55">
        <f t="shared" si="11"/>
        <v>0</v>
      </c>
      <c r="K50" s="55">
        <f t="shared" si="11"/>
        <v>0</v>
      </c>
      <c r="L50" s="55">
        <f t="shared" si="11"/>
        <v>0</v>
      </c>
      <c r="M50" s="55">
        <f t="shared" si="11"/>
        <v>0</v>
      </c>
      <c r="N50" s="55">
        <f t="shared" si="11"/>
        <v>0</v>
      </c>
      <c r="O50" s="55">
        <f t="shared" si="11"/>
        <v>0</v>
      </c>
      <c r="P50" s="55">
        <f t="shared" si="11"/>
        <v>0</v>
      </c>
      <c r="Q50" s="55">
        <f t="shared" si="11"/>
        <v>0</v>
      </c>
      <c r="R50" s="55">
        <f t="shared" si="11"/>
        <v>0</v>
      </c>
      <c r="S50" s="55">
        <f t="shared" si="11"/>
        <v>0</v>
      </c>
      <c r="T50" s="55">
        <f t="shared" si="11"/>
        <v>0</v>
      </c>
      <c r="U50" s="55">
        <f t="shared" si="11"/>
        <v>0</v>
      </c>
      <c r="V50" s="55">
        <f t="shared" si="11"/>
        <v>0</v>
      </c>
      <c r="W50" s="55">
        <f t="shared" si="11"/>
        <v>0</v>
      </c>
      <c r="X50" s="55">
        <f t="shared" si="11"/>
        <v>0</v>
      </c>
      <c r="Y50" s="55">
        <f t="shared" si="11"/>
        <v>0</v>
      </c>
      <c r="Z50" s="55">
        <f t="shared" si="11"/>
        <v>0</v>
      </c>
      <c r="AA50" s="55">
        <f t="shared" si="11"/>
        <v>0</v>
      </c>
      <c r="AB50" s="55">
        <f t="shared" si="11"/>
        <v>0</v>
      </c>
      <c r="AC50" s="55">
        <f t="shared" si="11"/>
        <v>0</v>
      </c>
      <c r="AD50" s="55">
        <f t="shared" si="11"/>
        <v>0</v>
      </c>
      <c r="AE50" s="55">
        <f t="shared" si="11"/>
        <v>0</v>
      </c>
      <c r="AF50" s="55">
        <f t="shared" si="11"/>
        <v>0</v>
      </c>
      <c r="AG50" s="55">
        <f t="shared" si="11"/>
        <v>0</v>
      </c>
      <c r="AH50" s="55">
        <f t="shared" si="11"/>
        <v>0</v>
      </c>
      <c r="AI50" s="55">
        <f t="shared" si="11"/>
        <v>0</v>
      </c>
      <c r="AJ50" s="55">
        <f t="shared" si="11"/>
        <v>0</v>
      </c>
    </row>
    <row r="51" spans="1:36" x14ac:dyDescent="0.3">
      <c r="D51" t="s">
        <v>33</v>
      </c>
      <c r="E51" s="115">
        <f>-SUM(F51:AJ51)</f>
        <v>21.769222408751798</v>
      </c>
      <c r="F51" s="55">
        <f>F$38*$C$22</f>
        <v>0.50640390000000002</v>
      </c>
      <c r="G51" s="55">
        <f t="shared" ref="G51:AJ51" si="12">G$38*$C$22</f>
        <v>1.0128078</v>
      </c>
      <c r="H51" s="55">
        <f t="shared" si="12"/>
        <v>0.67292933333333238</v>
      </c>
      <c r="I51" s="55">
        <f t="shared" si="12"/>
        <v>0.31608715151515027</v>
      </c>
      <c r="J51" s="55">
        <f t="shared" si="12"/>
        <v>-5.8622848484849735E-2</v>
      </c>
      <c r="K51" s="55">
        <f t="shared" si="12"/>
        <v>-0.45214333333333528</v>
      </c>
      <c r="L51" s="55">
        <f t="shared" si="12"/>
        <v>-0.86503133333333526</v>
      </c>
      <c r="M51" s="55">
        <f t="shared" si="12"/>
        <v>-0.95423554493536511</v>
      </c>
      <c r="N51" s="55">
        <f t="shared" si="12"/>
        <v>-0.95423554493536511</v>
      </c>
      <c r="O51" s="55">
        <f t="shared" si="12"/>
        <v>-0.95423554493536511</v>
      </c>
      <c r="P51" s="55">
        <f t="shared" si="12"/>
        <v>-0.95423554493536511</v>
      </c>
      <c r="Q51" s="55">
        <f t="shared" si="12"/>
        <v>-0.95423554493536511</v>
      </c>
      <c r="R51" s="55">
        <f t="shared" si="12"/>
        <v>-0.95423554493536511</v>
      </c>
      <c r="S51" s="55">
        <f t="shared" si="12"/>
        <v>-0.95423554493536511</v>
      </c>
      <c r="T51" s="55">
        <f t="shared" si="12"/>
        <v>-0.95423554493536511</v>
      </c>
      <c r="U51" s="55">
        <f t="shared" si="12"/>
        <v>-0.95423554493536511</v>
      </c>
      <c r="V51" s="55">
        <f t="shared" si="12"/>
        <v>-0.95423554493536511</v>
      </c>
      <c r="W51" s="55">
        <f t="shared" si="12"/>
        <v>-0.95423554493536511</v>
      </c>
      <c r="X51" s="55">
        <f t="shared" si="12"/>
        <v>-0.95423554493536511</v>
      </c>
      <c r="Y51" s="55">
        <f t="shared" si="12"/>
        <v>-0.95423554493536511</v>
      </c>
      <c r="Z51" s="55">
        <f t="shared" si="12"/>
        <v>-0.95423554493536511</v>
      </c>
      <c r="AA51" s="55">
        <f t="shared" si="12"/>
        <v>-0.95423554493536511</v>
      </c>
      <c r="AB51" s="55">
        <f t="shared" si="12"/>
        <v>-0.95423554493536511</v>
      </c>
      <c r="AC51" s="55">
        <f t="shared" si="12"/>
        <v>-0.95423554493536511</v>
      </c>
      <c r="AD51" s="55">
        <f t="shared" si="12"/>
        <v>-0.95423554493536511</v>
      </c>
      <c r="AE51" s="55">
        <f t="shared" si="12"/>
        <v>-0.95423554493536511</v>
      </c>
      <c r="AF51" s="55">
        <f t="shared" si="12"/>
        <v>-0.95423554493536511</v>
      </c>
      <c r="AG51" s="55">
        <f t="shared" si="12"/>
        <v>-0.95423554493536511</v>
      </c>
      <c r="AH51" s="55">
        <f t="shared" si="12"/>
        <v>-0.95423554493536511</v>
      </c>
      <c r="AI51" s="55">
        <f t="shared" si="12"/>
        <v>-0.95423554493536511</v>
      </c>
      <c r="AJ51" s="55">
        <f t="shared" si="12"/>
        <v>-0.95423554493536511</v>
      </c>
    </row>
    <row r="52" spans="1:36" x14ac:dyDescent="0.3">
      <c r="D52" t="s">
        <v>34</v>
      </c>
      <c r="E52" s="115">
        <f>-SUM(F52:AJ52)</f>
        <v>1.0776842776609801E-3</v>
      </c>
      <c r="F52" s="55">
        <f>F$38*$C$23</f>
        <v>2.5069499999999998E-5</v>
      </c>
      <c r="G52" s="55">
        <f t="shared" ref="G52:AJ52" si="13">G$38*$C$23</f>
        <v>5.0138999999999995E-5</v>
      </c>
      <c r="H52" s="55">
        <f t="shared" si="13"/>
        <v>3.3313333333333284E-5</v>
      </c>
      <c r="I52" s="55">
        <f t="shared" si="13"/>
        <v>1.5647878787878727E-5</v>
      </c>
      <c r="J52" s="55">
        <f t="shared" si="13"/>
        <v>-2.9021212121212739E-6</v>
      </c>
      <c r="K52" s="55">
        <f t="shared" si="13"/>
        <v>-2.2383333333333431E-5</v>
      </c>
      <c r="L52" s="55">
        <f t="shared" si="13"/>
        <v>-4.2823333333333429E-5</v>
      </c>
      <c r="M52" s="55">
        <f t="shared" si="13"/>
        <v>-4.7239383412641838E-5</v>
      </c>
      <c r="N52" s="55">
        <f t="shared" si="13"/>
        <v>-4.7239383412641838E-5</v>
      </c>
      <c r="O52" s="55">
        <f t="shared" si="13"/>
        <v>-4.7239383412641838E-5</v>
      </c>
      <c r="P52" s="55">
        <f t="shared" si="13"/>
        <v>-4.7239383412641838E-5</v>
      </c>
      <c r="Q52" s="55">
        <f t="shared" si="13"/>
        <v>-4.7239383412641838E-5</v>
      </c>
      <c r="R52" s="55">
        <f t="shared" si="13"/>
        <v>-4.7239383412641838E-5</v>
      </c>
      <c r="S52" s="55">
        <f t="shared" si="13"/>
        <v>-4.7239383412641838E-5</v>
      </c>
      <c r="T52" s="55">
        <f t="shared" si="13"/>
        <v>-4.7239383412641838E-5</v>
      </c>
      <c r="U52" s="55">
        <f t="shared" si="13"/>
        <v>-4.7239383412641838E-5</v>
      </c>
      <c r="V52" s="55">
        <f t="shared" si="13"/>
        <v>-4.7239383412641838E-5</v>
      </c>
      <c r="W52" s="55">
        <f t="shared" si="13"/>
        <v>-4.7239383412641838E-5</v>
      </c>
      <c r="X52" s="55">
        <f t="shared" si="13"/>
        <v>-4.7239383412641838E-5</v>
      </c>
      <c r="Y52" s="55">
        <f t="shared" si="13"/>
        <v>-4.7239383412641838E-5</v>
      </c>
      <c r="Z52" s="55">
        <f t="shared" si="13"/>
        <v>-4.7239383412641838E-5</v>
      </c>
      <c r="AA52" s="55">
        <f t="shared" si="13"/>
        <v>-4.7239383412641838E-5</v>
      </c>
      <c r="AB52" s="55">
        <f t="shared" si="13"/>
        <v>-4.7239383412641838E-5</v>
      </c>
      <c r="AC52" s="55">
        <f t="shared" si="13"/>
        <v>-4.7239383412641838E-5</v>
      </c>
      <c r="AD52" s="55">
        <f t="shared" si="13"/>
        <v>-4.7239383412641838E-5</v>
      </c>
      <c r="AE52" s="55">
        <f t="shared" si="13"/>
        <v>-4.7239383412641838E-5</v>
      </c>
      <c r="AF52" s="55">
        <f t="shared" si="13"/>
        <v>-4.7239383412641838E-5</v>
      </c>
      <c r="AG52" s="55">
        <f t="shared" si="13"/>
        <v>-4.7239383412641838E-5</v>
      </c>
      <c r="AH52" s="55">
        <f t="shared" si="13"/>
        <v>-4.7239383412641838E-5</v>
      </c>
      <c r="AI52" s="55">
        <f t="shared" si="13"/>
        <v>-4.7239383412641838E-5</v>
      </c>
      <c r="AJ52" s="55">
        <f t="shared" si="13"/>
        <v>-4.7239383412641838E-5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DD0F3-EA8B-4E13-8DCB-91207905017F}">
  <sheetPr>
    <tabColor theme="7" tint="0.79998168889431442"/>
  </sheetPr>
  <dimension ref="A1:AM77"/>
  <sheetViews>
    <sheetView topLeftCell="A43" workbookViewId="0">
      <selection activeCell="A56" sqref="A56"/>
    </sheetView>
  </sheetViews>
  <sheetFormatPr defaultRowHeight="14.4" x14ac:dyDescent="0.3"/>
  <cols>
    <col min="1" max="1" width="64.44140625" customWidth="1"/>
    <col min="2" max="2" width="28.5546875" customWidth="1"/>
    <col min="3" max="3" width="36.44140625" customWidth="1"/>
    <col min="4" max="4" width="21.88671875" bestFit="1" customWidth="1"/>
    <col min="5" max="5" width="20.88671875" bestFit="1" customWidth="1"/>
    <col min="6" max="6" width="12.5546875" bestFit="1" customWidth="1"/>
    <col min="7" max="7" width="25.88671875" customWidth="1"/>
    <col min="8" max="8" width="13" customWidth="1"/>
    <col min="9" max="9" width="11.33203125" bestFit="1" customWidth="1"/>
    <col min="10" max="10" width="12.109375" customWidth="1"/>
    <col min="11" max="11" width="9" bestFit="1" customWidth="1"/>
    <col min="12" max="13" width="14" bestFit="1" customWidth="1"/>
    <col min="14" max="17" width="15" bestFit="1" customWidth="1"/>
    <col min="18" max="39" width="13.109375" bestFit="1" customWidth="1"/>
  </cols>
  <sheetData>
    <row r="1" spans="1:7" x14ac:dyDescent="0.3">
      <c r="A1" t="s">
        <v>106</v>
      </c>
    </row>
    <row r="3" spans="1:7" x14ac:dyDescent="0.3">
      <c r="A3" s="14" t="s">
        <v>107</v>
      </c>
      <c r="B3" t="s">
        <v>108</v>
      </c>
    </row>
    <row r="4" spans="1:7" x14ac:dyDescent="0.3">
      <c r="A4" t="s">
        <v>109</v>
      </c>
      <c r="B4" t="s">
        <v>110</v>
      </c>
    </row>
    <row r="6" spans="1:7" x14ac:dyDescent="0.3">
      <c r="A6" s="14" t="s">
        <v>29</v>
      </c>
    </row>
    <row r="7" spans="1:7" x14ac:dyDescent="0.3">
      <c r="A7" t="s">
        <v>70</v>
      </c>
      <c r="B7" t="s">
        <v>71</v>
      </c>
      <c r="C7" t="s">
        <v>72</v>
      </c>
    </row>
    <row r="8" spans="1:7" x14ac:dyDescent="0.3">
      <c r="A8" t="s">
        <v>73</v>
      </c>
      <c r="B8">
        <f>AVERAGE(25.3,18.2)</f>
        <v>21.75</v>
      </c>
      <c r="C8" s="25">
        <v>3.145</v>
      </c>
      <c r="D8" s="24"/>
      <c r="F8" s="25"/>
    </row>
    <row r="10" spans="1:7" x14ac:dyDescent="0.3">
      <c r="A10" t="s">
        <v>74</v>
      </c>
    </row>
    <row r="11" spans="1:7" x14ac:dyDescent="0.3">
      <c r="A11" t="s">
        <v>75</v>
      </c>
    </row>
    <row r="12" spans="1:7" x14ac:dyDescent="0.3">
      <c r="A12" t="s">
        <v>76</v>
      </c>
    </row>
    <row r="14" spans="1:7" x14ac:dyDescent="0.3">
      <c r="A14" s="14" t="s">
        <v>77</v>
      </c>
    </row>
    <row r="15" spans="1:7" s="7" customFormat="1" ht="49.35" customHeight="1" x14ac:dyDescent="0.3">
      <c r="A15" s="7" t="s">
        <v>70</v>
      </c>
      <c r="B15" s="7" t="s">
        <v>78</v>
      </c>
      <c r="C15" s="7" t="s">
        <v>79</v>
      </c>
    </row>
    <row r="16" spans="1:7" x14ac:dyDescent="0.3">
      <c r="A16" t="s">
        <v>73</v>
      </c>
      <c r="B16" s="16">
        <f>'BCA Values'!K24</f>
        <v>0.45</v>
      </c>
      <c r="C16" s="16">
        <f>'BCA Values'!K25</f>
        <v>0.94</v>
      </c>
      <c r="E16" s="21"/>
      <c r="F16" s="21"/>
      <c r="G16" s="21"/>
    </row>
    <row r="18" spans="1:6" x14ac:dyDescent="0.3">
      <c r="A18" t="s">
        <v>80</v>
      </c>
      <c r="B18" s="12"/>
    </row>
    <row r="19" spans="1:6" x14ac:dyDescent="0.3">
      <c r="A19" t="s">
        <v>81</v>
      </c>
    </row>
    <row r="21" spans="1:6" x14ac:dyDescent="0.3">
      <c r="A21" s="14" t="s">
        <v>89</v>
      </c>
      <c r="B21" t="s">
        <v>90</v>
      </c>
      <c r="C21" t="s">
        <v>91</v>
      </c>
      <c r="D21" t="s">
        <v>92</v>
      </c>
    </row>
    <row r="22" spans="1:6" x14ac:dyDescent="0.3">
      <c r="A22" s="7" t="s">
        <v>70</v>
      </c>
      <c r="B22">
        <f>'Crash stats'!$R$8/100000000</f>
        <v>8.7499999999999999E-7</v>
      </c>
      <c r="C22" s="60">
        <f>'Crash stats'!$C$15/100000000</f>
        <v>1.1550000000000001E-8</v>
      </c>
      <c r="D22" s="60">
        <f>'Crash stats'!AC16/1000000</f>
        <v>1.4598614334767006E-6</v>
      </c>
    </row>
    <row r="23" spans="1:6" x14ac:dyDescent="0.3">
      <c r="A23" t="s">
        <v>73</v>
      </c>
      <c r="B23" t="s">
        <v>93</v>
      </c>
    </row>
    <row r="25" spans="1:6" x14ac:dyDescent="0.3">
      <c r="A25" s="14" t="s">
        <v>82</v>
      </c>
    </row>
    <row r="26" spans="1:6" x14ac:dyDescent="0.3">
      <c r="A26" t="s">
        <v>83</v>
      </c>
      <c r="B26" t="s">
        <v>84</v>
      </c>
      <c r="C26" t="s">
        <v>85</v>
      </c>
      <c r="D26" t="s">
        <v>111</v>
      </c>
      <c r="E26" t="s">
        <v>112</v>
      </c>
      <c r="F26" t="s">
        <v>85</v>
      </c>
    </row>
    <row r="27" spans="1:6" x14ac:dyDescent="0.3">
      <c r="A27" t="s">
        <v>31</v>
      </c>
      <c r="B27" s="61">
        <v>0.68600000000000005</v>
      </c>
      <c r="C27">
        <f>B27/1000000</f>
        <v>6.8600000000000008E-7</v>
      </c>
      <c r="D27">
        <f>'BCA Values'!B5</f>
        <v>15600</v>
      </c>
      <c r="E27" s="22"/>
    </row>
    <row r="28" spans="1:6" x14ac:dyDescent="0.3">
      <c r="A28" s="7" t="s">
        <v>32</v>
      </c>
      <c r="B28" t="s">
        <v>113</v>
      </c>
      <c r="C28">
        <v>0</v>
      </c>
      <c r="D28">
        <f>'BCA Values'!C5</f>
        <v>41500</v>
      </c>
    </row>
    <row r="29" spans="1:6" x14ac:dyDescent="0.3">
      <c r="A29" t="s">
        <v>33</v>
      </c>
      <c r="B29">
        <v>404</v>
      </c>
      <c r="C29">
        <f t="shared" ref="C29:C30" si="0">B29/1000000</f>
        <v>4.0400000000000001E-4</v>
      </c>
      <c r="D29">
        <f>'BCA Values'!E5</f>
        <v>52</v>
      </c>
    </row>
    <row r="30" spans="1:6" x14ac:dyDescent="0.3">
      <c r="A30" t="s">
        <v>34</v>
      </c>
      <c r="B30">
        <v>0.02</v>
      </c>
      <c r="C30">
        <f t="shared" si="0"/>
        <v>2E-8</v>
      </c>
      <c r="D30">
        <f>'BCA Values'!D5</f>
        <v>748600</v>
      </c>
    </row>
    <row r="31" spans="1:6" x14ac:dyDescent="0.3">
      <c r="B31" t="s">
        <v>87</v>
      </c>
    </row>
    <row r="32" spans="1:6" x14ac:dyDescent="0.3">
      <c r="A32" s="7"/>
      <c r="B32" t="s">
        <v>88</v>
      </c>
    </row>
    <row r="33" spans="1:39" x14ac:dyDescent="0.3">
      <c r="A33" s="7"/>
    </row>
    <row r="34" spans="1:39" x14ac:dyDescent="0.3">
      <c r="A34" s="90" t="s">
        <v>114</v>
      </c>
    </row>
    <row r="35" spans="1:39" x14ac:dyDescent="0.3">
      <c r="A35" s="7" t="s">
        <v>115</v>
      </c>
      <c r="B35" t="s">
        <v>116</v>
      </c>
      <c r="C35" t="s">
        <v>117</v>
      </c>
    </row>
    <row r="36" spans="1:39" x14ac:dyDescent="0.3">
      <c r="A36" s="7" t="s">
        <v>118</v>
      </c>
      <c r="B36" s="91">
        <v>42</v>
      </c>
      <c r="C36" t="s">
        <v>119</v>
      </c>
    </row>
    <row r="37" spans="1:39" x14ac:dyDescent="0.3">
      <c r="A37" s="7" t="s">
        <v>120</v>
      </c>
      <c r="B37" s="28">
        <v>0.47699999999999998</v>
      </c>
      <c r="C37" t="s">
        <v>119</v>
      </c>
    </row>
    <row r="38" spans="1:39" ht="28.8" x14ac:dyDescent="0.3">
      <c r="A38" s="7" t="s">
        <v>121</v>
      </c>
      <c r="B38" s="28">
        <f>-0.16/8.47</f>
        <v>-1.8890200708382526E-2</v>
      </c>
      <c r="C38" t="s">
        <v>122</v>
      </c>
    </row>
    <row r="39" spans="1:39" x14ac:dyDescent="0.3">
      <c r="A39" t="s">
        <v>123</v>
      </c>
      <c r="B39">
        <v>0.28699999999999998</v>
      </c>
      <c r="C39" t="s">
        <v>119</v>
      </c>
    </row>
    <row r="41" spans="1:39" x14ac:dyDescent="0.3">
      <c r="A41" s="14" t="s">
        <v>124</v>
      </c>
    </row>
    <row r="42" spans="1:39" x14ac:dyDescent="0.3">
      <c r="A42" t="s">
        <v>125</v>
      </c>
      <c r="B42">
        <v>0.04</v>
      </c>
      <c r="C42" s="20" t="s">
        <v>126</v>
      </c>
    </row>
    <row r="43" spans="1:39" x14ac:dyDescent="0.3">
      <c r="A43" t="s">
        <v>127</v>
      </c>
      <c r="B43">
        <v>0.06</v>
      </c>
    </row>
    <row r="47" spans="1:39" x14ac:dyDescent="0.3">
      <c r="C47" s="27">
        <v>0.03</v>
      </c>
      <c r="D47" s="27">
        <v>7.0000000000000007E-2</v>
      </c>
      <c r="J47">
        <v>1</v>
      </c>
      <c r="K47">
        <f>J47+1</f>
        <v>2</v>
      </c>
      <c r="L47">
        <f t="shared" ref="L47:AM47" si="1">K47+1</f>
        <v>3</v>
      </c>
      <c r="M47">
        <f t="shared" si="1"/>
        <v>4</v>
      </c>
      <c r="N47">
        <f t="shared" si="1"/>
        <v>5</v>
      </c>
      <c r="O47">
        <f t="shared" si="1"/>
        <v>6</v>
      </c>
      <c r="P47">
        <f t="shared" si="1"/>
        <v>7</v>
      </c>
      <c r="Q47">
        <f t="shared" si="1"/>
        <v>8</v>
      </c>
      <c r="R47">
        <f t="shared" si="1"/>
        <v>9</v>
      </c>
      <c r="S47">
        <f t="shared" si="1"/>
        <v>10</v>
      </c>
      <c r="T47">
        <f t="shared" si="1"/>
        <v>11</v>
      </c>
      <c r="U47">
        <f t="shared" si="1"/>
        <v>12</v>
      </c>
      <c r="V47">
        <f t="shared" si="1"/>
        <v>13</v>
      </c>
      <c r="W47">
        <f t="shared" si="1"/>
        <v>14</v>
      </c>
      <c r="X47">
        <f t="shared" si="1"/>
        <v>15</v>
      </c>
      <c r="Y47">
        <f t="shared" si="1"/>
        <v>16</v>
      </c>
      <c r="Z47">
        <f t="shared" si="1"/>
        <v>17</v>
      </c>
      <c r="AA47">
        <f t="shared" si="1"/>
        <v>18</v>
      </c>
      <c r="AB47">
        <f t="shared" si="1"/>
        <v>19</v>
      </c>
      <c r="AC47">
        <f t="shared" si="1"/>
        <v>20</v>
      </c>
      <c r="AD47">
        <f t="shared" si="1"/>
        <v>21</v>
      </c>
      <c r="AE47">
        <f t="shared" si="1"/>
        <v>22</v>
      </c>
      <c r="AF47">
        <f t="shared" si="1"/>
        <v>23</v>
      </c>
      <c r="AG47">
        <f t="shared" si="1"/>
        <v>24</v>
      </c>
      <c r="AH47">
        <f t="shared" si="1"/>
        <v>25</v>
      </c>
      <c r="AI47">
        <f t="shared" si="1"/>
        <v>26</v>
      </c>
      <c r="AJ47">
        <f t="shared" si="1"/>
        <v>27</v>
      </c>
      <c r="AK47">
        <f t="shared" si="1"/>
        <v>28</v>
      </c>
      <c r="AL47">
        <f t="shared" si="1"/>
        <v>29</v>
      </c>
      <c r="AM47">
        <f t="shared" si="1"/>
        <v>30</v>
      </c>
    </row>
    <row r="48" spans="1:39" x14ac:dyDescent="0.3">
      <c r="A48" s="9" t="s">
        <v>41</v>
      </c>
      <c r="B48" s="9" t="s">
        <v>128</v>
      </c>
      <c r="C48" s="9" t="s">
        <v>43</v>
      </c>
      <c r="D48" s="9" t="s">
        <v>44</v>
      </c>
      <c r="E48" s="9" t="s">
        <v>2</v>
      </c>
      <c r="F48" s="9">
        <v>2022</v>
      </c>
      <c r="G48" s="9">
        <v>2023</v>
      </c>
      <c r="H48" s="9">
        <v>2024</v>
      </c>
      <c r="I48" s="9">
        <v>2025</v>
      </c>
      <c r="J48" s="9">
        <v>2026</v>
      </c>
      <c r="K48" s="9">
        <v>2027</v>
      </c>
      <c r="L48" s="9">
        <v>2028</v>
      </c>
      <c r="M48" s="9">
        <v>2029</v>
      </c>
      <c r="N48" s="9">
        <v>2030</v>
      </c>
      <c r="O48" s="9">
        <v>2031</v>
      </c>
      <c r="P48" s="9">
        <v>2032</v>
      </c>
      <c r="Q48" s="9">
        <v>2033</v>
      </c>
      <c r="R48" s="9">
        <v>2034</v>
      </c>
      <c r="S48" s="9">
        <v>2035</v>
      </c>
      <c r="T48" s="9">
        <v>2036</v>
      </c>
      <c r="U48" s="9">
        <v>2037</v>
      </c>
      <c r="V48" s="9">
        <v>2038</v>
      </c>
      <c r="W48" s="9">
        <v>2039</v>
      </c>
      <c r="X48" s="9">
        <v>2040</v>
      </c>
      <c r="Y48" s="9">
        <v>2041</v>
      </c>
      <c r="Z48" s="9">
        <v>2042</v>
      </c>
      <c r="AA48" s="9">
        <v>2043</v>
      </c>
      <c r="AB48" s="9">
        <v>2044</v>
      </c>
      <c r="AC48" s="9">
        <v>2045</v>
      </c>
      <c r="AD48" s="9">
        <v>2046</v>
      </c>
      <c r="AE48" s="9">
        <v>2047</v>
      </c>
      <c r="AF48" s="9">
        <v>2048</v>
      </c>
      <c r="AG48" s="9">
        <v>2049</v>
      </c>
      <c r="AH48" s="9">
        <v>2050</v>
      </c>
      <c r="AI48" s="9">
        <v>2051</v>
      </c>
      <c r="AJ48" s="9">
        <v>2052</v>
      </c>
      <c r="AK48" s="9">
        <v>2053</v>
      </c>
      <c r="AL48" s="9">
        <v>2054</v>
      </c>
      <c r="AM48" s="9">
        <v>2055</v>
      </c>
    </row>
    <row r="49" spans="1:39" x14ac:dyDescent="0.3">
      <c r="A49" t="s">
        <v>129</v>
      </c>
      <c r="B49" s="56"/>
      <c r="C49" s="56"/>
      <c r="D49" s="56"/>
      <c r="E49" s="116">
        <f>AVERAGE(I49:AM49)</f>
        <v>4327925.6485606264</v>
      </c>
      <c r="F49">
        <v>0</v>
      </c>
      <c r="G49">
        <v>0</v>
      </c>
      <c r="H49">
        <v>0</v>
      </c>
      <c r="I49" s="55">
        <f>J49/2</f>
        <v>442791.07295504789</v>
      </c>
      <c r="J49" s="55">
        <f>'project benefits_PAMT_pubbridge'!F7</f>
        <v>885582.14591009577</v>
      </c>
      <c r="K49" s="55">
        <f>'project benefits_PAMT_pubbridge'!F8</f>
        <v>2361552.3890935886</v>
      </c>
      <c r="L49" s="55">
        <f>'project benefits_PAMT_pubbridge'!F9</f>
        <v>3542328.5836403831</v>
      </c>
      <c r="M49">
        <f>'project benefits_PAMT_pubbridge'!F10</f>
        <v>4132716.6809137804</v>
      </c>
      <c r="N49">
        <f>'project benefits_PAMT_pubbridge'!F11</f>
        <v>4723104.7781871771</v>
      </c>
      <c r="O49" s="55">
        <f>N49*'project benefits_PAMT_pubbridge'!$J$12</f>
        <v>4723104.7781871771</v>
      </c>
      <c r="P49" s="55">
        <f>O49*'project benefits_PAMT_pubbridge'!$J$12</f>
        <v>4723104.7781871771</v>
      </c>
      <c r="Q49" s="55">
        <f>P49*'project benefits_PAMT_pubbridge'!$J$12</f>
        <v>4723104.7781871771</v>
      </c>
      <c r="R49" s="55">
        <f>Q49*'project benefits_PAMT_pubbridge'!$J$12</f>
        <v>4723104.7781871771</v>
      </c>
      <c r="S49" s="55">
        <f>R49*'project benefits_PAMT_pubbridge'!$J$12</f>
        <v>4723104.7781871771</v>
      </c>
      <c r="T49" s="55">
        <f>S49*'project benefits_PAMT_pubbridge'!$J$12</f>
        <v>4723104.7781871771</v>
      </c>
      <c r="U49" s="55">
        <f>T49*'project benefits_PAMT_pubbridge'!$J$12</f>
        <v>4723104.7781871771</v>
      </c>
      <c r="V49" s="55">
        <f>U49*'project benefits_PAMT_pubbridge'!$J$12</f>
        <v>4723104.7781871771</v>
      </c>
      <c r="W49" s="55">
        <f>V49*'project benefits_PAMT_pubbridge'!$J$12</f>
        <v>4723104.7781871771</v>
      </c>
      <c r="X49" s="55">
        <f>W49*'project benefits_PAMT_pubbridge'!$J$12</f>
        <v>4723104.7781871771</v>
      </c>
      <c r="Y49" s="55">
        <f>X49*'project benefits_PAMT_pubbridge'!$J$12</f>
        <v>4723104.7781871771</v>
      </c>
      <c r="Z49" s="55">
        <f>Y49*'project benefits_PAMT_pubbridge'!$J$12</f>
        <v>4723104.7781871771</v>
      </c>
      <c r="AA49" s="55">
        <f>Z49*'project benefits_PAMT_pubbridge'!$J$12</f>
        <v>4723104.7781871771</v>
      </c>
      <c r="AB49" s="55">
        <f>AA49*'project benefits_PAMT_pubbridge'!$J$12</f>
        <v>4723104.7781871771</v>
      </c>
      <c r="AC49" s="55">
        <f>AB49*'project benefits_PAMT_pubbridge'!$J$12</f>
        <v>4723104.7781871771</v>
      </c>
      <c r="AD49" s="55">
        <f>AC49*'project benefits_PAMT_pubbridge'!$J$12</f>
        <v>4723104.7781871771</v>
      </c>
      <c r="AE49" s="55">
        <f>AD49*'project benefits_PAMT_pubbridge'!$J$12</f>
        <v>4723104.7781871771</v>
      </c>
      <c r="AF49" s="55">
        <f>AE49*'project benefits_PAMT_pubbridge'!$J$12</f>
        <v>4723104.7781871771</v>
      </c>
      <c r="AG49" s="55">
        <f>AF49*'project benefits_PAMT_pubbridge'!$J$12</f>
        <v>4723104.7781871771</v>
      </c>
      <c r="AH49" s="55">
        <f>AG49*'project benefits_PAMT_pubbridge'!$J$12</f>
        <v>4723104.7781871771</v>
      </c>
      <c r="AI49" s="55">
        <f>AH49*'project benefits_PAMT_pubbridge'!$J$12</f>
        <v>4723104.7781871771</v>
      </c>
      <c r="AJ49" s="55">
        <f>AI49*'project benefits_PAMT_pubbridge'!$J$12</f>
        <v>4723104.7781871771</v>
      </c>
      <c r="AK49" s="55">
        <f>AJ49*'project benefits_PAMT_pubbridge'!$J$12</f>
        <v>4723104.7781871771</v>
      </c>
      <c r="AL49" s="55">
        <f>AK49*'project benefits_PAMT_pubbridge'!$J$12</f>
        <v>4723104.7781871771</v>
      </c>
      <c r="AM49" s="55">
        <f>AL49*'project benefits_PAMT_pubbridge'!$J$12</f>
        <v>4723104.7781871771</v>
      </c>
    </row>
    <row r="50" spans="1:39" x14ac:dyDescent="0.3">
      <c r="A50" t="s">
        <v>98</v>
      </c>
      <c r="B50" s="56"/>
      <c r="C50" s="56"/>
      <c r="D50" s="56"/>
      <c r="E50" s="56"/>
      <c r="F50" s="10">
        <v>15800</v>
      </c>
      <c r="G50" s="10">
        <v>16000</v>
      </c>
      <c r="H50" s="10">
        <v>16200</v>
      </c>
      <c r="I50" s="10">
        <v>16500</v>
      </c>
      <c r="J50" s="10">
        <v>16800</v>
      </c>
      <c r="K50" s="10">
        <v>17100</v>
      </c>
      <c r="L50" s="10">
        <v>17400</v>
      </c>
      <c r="M50" s="10">
        <v>17700</v>
      </c>
      <c r="N50" s="10">
        <v>18100</v>
      </c>
      <c r="O50" s="10">
        <v>18100</v>
      </c>
      <c r="P50" s="10">
        <v>18100</v>
      </c>
      <c r="Q50" s="10">
        <v>18100</v>
      </c>
      <c r="R50" s="10">
        <v>18100</v>
      </c>
      <c r="S50" s="10">
        <v>18100</v>
      </c>
      <c r="T50" s="10">
        <v>18100</v>
      </c>
      <c r="U50" s="10">
        <v>18100</v>
      </c>
      <c r="V50" s="10">
        <v>18100</v>
      </c>
      <c r="W50" s="10">
        <v>18100</v>
      </c>
      <c r="X50" s="10">
        <v>18100</v>
      </c>
      <c r="Y50" s="10">
        <v>18100</v>
      </c>
      <c r="Z50" s="10">
        <v>18100</v>
      </c>
      <c r="AA50" s="10">
        <v>18100</v>
      </c>
      <c r="AB50" s="10">
        <v>18100</v>
      </c>
      <c r="AC50" s="10">
        <v>18100</v>
      </c>
      <c r="AD50" s="10">
        <v>18100</v>
      </c>
      <c r="AE50" s="10">
        <v>18100</v>
      </c>
      <c r="AF50" s="10">
        <v>18100</v>
      </c>
      <c r="AG50" s="10">
        <v>18100</v>
      </c>
      <c r="AH50" s="10">
        <v>18100</v>
      </c>
      <c r="AI50" s="10">
        <f t="shared" ref="AI50:AM50" si="2">AH50</f>
        <v>18100</v>
      </c>
      <c r="AJ50" s="10">
        <f t="shared" si="2"/>
        <v>18100</v>
      </c>
      <c r="AK50" s="10">
        <f t="shared" si="2"/>
        <v>18100</v>
      </c>
      <c r="AL50" s="10">
        <f t="shared" si="2"/>
        <v>18100</v>
      </c>
      <c r="AM50" s="10">
        <f t="shared" si="2"/>
        <v>18100</v>
      </c>
    </row>
    <row r="51" spans="1:39" x14ac:dyDescent="0.3">
      <c r="A51" t="s">
        <v>100</v>
      </c>
      <c r="B51" s="56"/>
      <c r="C51" s="56"/>
      <c r="D51" s="56"/>
      <c r="E51" s="56"/>
      <c r="F51" s="10">
        <v>53</v>
      </c>
      <c r="G51" s="10">
        <v>54</v>
      </c>
      <c r="H51" s="10">
        <v>55</v>
      </c>
      <c r="I51" s="10">
        <v>56</v>
      </c>
      <c r="J51" s="10">
        <v>57</v>
      </c>
      <c r="K51" s="10">
        <v>58</v>
      </c>
      <c r="L51" s="10">
        <v>60</v>
      </c>
      <c r="M51" s="10">
        <v>61</v>
      </c>
      <c r="N51" s="10">
        <v>62</v>
      </c>
      <c r="O51" s="10">
        <v>63</v>
      </c>
      <c r="P51" s="10">
        <v>64</v>
      </c>
      <c r="Q51" s="10">
        <v>65</v>
      </c>
      <c r="R51" s="10">
        <v>66</v>
      </c>
      <c r="S51" s="10">
        <v>67</v>
      </c>
      <c r="T51" s="10">
        <v>69</v>
      </c>
      <c r="U51" s="10">
        <v>70</v>
      </c>
      <c r="V51" s="10">
        <v>71</v>
      </c>
      <c r="W51" s="10">
        <v>72</v>
      </c>
      <c r="X51" s="10">
        <v>73</v>
      </c>
      <c r="Y51" s="10">
        <v>74</v>
      </c>
      <c r="Z51" s="10">
        <v>75</v>
      </c>
      <c r="AA51" s="10">
        <v>77</v>
      </c>
      <c r="AB51" s="10">
        <v>78</v>
      </c>
      <c r="AC51" s="10">
        <v>79</v>
      </c>
      <c r="AD51" s="10">
        <v>80</v>
      </c>
      <c r="AE51" s="10">
        <v>81</v>
      </c>
      <c r="AF51" s="10">
        <v>82</v>
      </c>
      <c r="AG51" s="10">
        <v>83</v>
      </c>
      <c r="AH51" s="10">
        <v>85</v>
      </c>
      <c r="AI51" s="10">
        <f t="shared" ref="AI51:AM51" si="3">AH51</f>
        <v>85</v>
      </c>
      <c r="AJ51" s="10">
        <f t="shared" si="3"/>
        <v>85</v>
      </c>
      <c r="AK51" s="10">
        <f t="shared" si="3"/>
        <v>85</v>
      </c>
      <c r="AL51" s="10">
        <f t="shared" si="3"/>
        <v>85</v>
      </c>
      <c r="AM51" s="10">
        <f t="shared" si="3"/>
        <v>85</v>
      </c>
    </row>
    <row r="52" spans="1:39" x14ac:dyDescent="0.3">
      <c r="A52" t="s">
        <v>101</v>
      </c>
      <c r="B52" s="56"/>
      <c r="C52" s="56"/>
      <c r="D52" s="56"/>
      <c r="E52" s="56"/>
      <c r="F52" s="10">
        <v>761600</v>
      </c>
      <c r="G52" s="10">
        <v>774700</v>
      </c>
      <c r="H52" s="10">
        <v>788100</v>
      </c>
      <c r="I52" s="10">
        <v>801700</v>
      </c>
      <c r="J52" s="10">
        <v>814500</v>
      </c>
      <c r="K52" s="10">
        <v>827400</v>
      </c>
      <c r="L52" s="10">
        <v>840600</v>
      </c>
      <c r="M52" s="10">
        <v>854000</v>
      </c>
      <c r="N52" s="10">
        <v>867600</v>
      </c>
      <c r="O52" s="10">
        <v>867600</v>
      </c>
      <c r="P52" s="10">
        <v>867600</v>
      </c>
      <c r="Q52" s="10">
        <v>867600</v>
      </c>
      <c r="R52" s="10">
        <v>867600</v>
      </c>
      <c r="S52" s="10">
        <v>867600</v>
      </c>
      <c r="T52" s="10">
        <v>867600</v>
      </c>
      <c r="U52" s="10">
        <v>867600</v>
      </c>
      <c r="V52" s="10">
        <v>867600</v>
      </c>
      <c r="W52" s="10">
        <v>867600</v>
      </c>
      <c r="X52" s="10">
        <v>867600</v>
      </c>
      <c r="Y52" s="10">
        <v>867600</v>
      </c>
      <c r="Z52" s="10">
        <v>867600</v>
      </c>
      <c r="AA52" s="10">
        <v>867600</v>
      </c>
      <c r="AB52" s="10">
        <v>867600</v>
      </c>
      <c r="AC52" s="10">
        <v>867600</v>
      </c>
      <c r="AD52" s="10">
        <v>867600</v>
      </c>
      <c r="AE52" s="10">
        <v>867600</v>
      </c>
      <c r="AF52" s="10">
        <v>867600</v>
      </c>
      <c r="AG52" s="10">
        <v>867600</v>
      </c>
      <c r="AH52" s="10">
        <v>867600</v>
      </c>
      <c r="AI52" s="10">
        <f t="shared" ref="AI52:AM52" si="4">AH52</f>
        <v>867600</v>
      </c>
      <c r="AJ52" s="10">
        <f t="shared" si="4"/>
        <v>867600</v>
      </c>
      <c r="AK52" s="10">
        <f t="shared" si="4"/>
        <v>867600</v>
      </c>
      <c r="AL52" s="10">
        <f t="shared" si="4"/>
        <v>867600</v>
      </c>
      <c r="AM52" s="10">
        <f t="shared" si="4"/>
        <v>867600</v>
      </c>
    </row>
    <row r="53" spans="1:39" x14ac:dyDescent="0.3">
      <c r="A53" t="s">
        <v>130</v>
      </c>
      <c r="B53" s="25">
        <f>'BCA Values'!H15</f>
        <v>12837400</v>
      </c>
      <c r="C53" s="16">
        <f t="shared" ref="C53:C60" si="5">NPV($C$47, F53:AM53)</f>
        <v>11258419.246085402</v>
      </c>
      <c r="D53" s="16">
        <f t="shared" ref="D53:D60" si="6">NPV($D$47, F53:AM53)</f>
        <v>5880739.2342866128</v>
      </c>
      <c r="E53" s="16">
        <f t="shared" ref="E53:E60" si="7">SUM(F53:AM53)</f>
        <v>19893011.919693984</v>
      </c>
      <c r="F53" s="10">
        <f t="shared" ref="F53:I53" si="8">(F49*$C$22)*$B$53</f>
        <v>0</v>
      </c>
      <c r="G53" s="10">
        <f t="shared" si="8"/>
        <v>0</v>
      </c>
      <c r="H53" s="10">
        <f t="shared" si="8"/>
        <v>0</v>
      </c>
      <c r="I53" s="10">
        <f t="shared" si="8"/>
        <v>65653.504685458684</v>
      </c>
      <c r="J53" s="10">
        <f t="shared" ref="J53:AM53" si="9">(J49*$C$22)*$B$53</f>
        <v>131307.00937091737</v>
      </c>
      <c r="K53" s="10">
        <f t="shared" si="9"/>
        <v>350152.02498911292</v>
      </c>
      <c r="L53" s="10">
        <f t="shared" si="9"/>
        <v>525228.03748366947</v>
      </c>
      <c r="M53" s="10">
        <f t="shared" si="9"/>
        <v>612766.04373094765</v>
      </c>
      <c r="N53" s="10">
        <f t="shared" si="9"/>
        <v>700304.04997822584</v>
      </c>
      <c r="O53" s="10">
        <f t="shared" si="9"/>
        <v>700304.04997822584</v>
      </c>
      <c r="P53" s="10">
        <f t="shared" si="9"/>
        <v>700304.04997822584</v>
      </c>
      <c r="Q53" s="10">
        <f t="shared" si="9"/>
        <v>700304.04997822584</v>
      </c>
      <c r="R53" s="10">
        <f t="shared" si="9"/>
        <v>700304.04997822584</v>
      </c>
      <c r="S53" s="10">
        <f t="shared" si="9"/>
        <v>700304.04997822584</v>
      </c>
      <c r="T53" s="10">
        <f t="shared" si="9"/>
        <v>700304.04997822584</v>
      </c>
      <c r="U53" s="10">
        <f t="shared" si="9"/>
        <v>700304.04997822584</v>
      </c>
      <c r="V53" s="10">
        <f t="shared" si="9"/>
        <v>700304.04997822584</v>
      </c>
      <c r="W53" s="10">
        <f t="shared" si="9"/>
        <v>700304.04997822584</v>
      </c>
      <c r="X53" s="10">
        <f t="shared" si="9"/>
        <v>700304.04997822584</v>
      </c>
      <c r="Y53" s="10">
        <f t="shared" si="9"/>
        <v>700304.04997822584</v>
      </c>
      <c r="Z53" s="10">
        <f t="shared" si="9"/>
        <v>700304.04997822584</v>
      </c>
      <c r="AA53" s="10">
        <f t="shared" si="9"/>
        <v>700304.04997822584</v>
      </c>
      <c r="AB53" s="10">
        <f t="shared" si="9"/>
        <v>700304.04997822584</v>
      </c>
      <c r="AC53" s="10">
        <f t="shared" si="9"/>
        <v>700304.04997822584</v>
      </c>
      <c r="AD53" s="10">
        <f t="shared" si="9"/>
        <v>700304.04997822584</v>
      </c>
      <c r="AE53" s="10">
        <f t="shared" si="9"/>
        <v>700304.04997822584</v>
      </c>
      <c r="AF53" s="10">
        <f t="shared" si="9"/>
        <v>700304.04997822584</v>
      </c>
      <c r="AG53" s="10">
        <f t="shared" si="9"/>
        <v>700304.04997822584</v>
      </c>
      <c r="AH53" s="10">
        <f t="shared" si="9"/>
        <v>700304.04997822584</v>
      </c>
      <c r="AI53" s="10">
        <f t="shared" si="9"/>
        <v>700304.04997822584</v>
      </c>
      <c r="AJ53" s="10">
        <f t="shared" si="9"/>
        <v>700304.04997822584</v>
      </c>
      <c r="AK53" s="10">
        <f t="shared" si="9"/>
        <v>700304.04997822584</v>
      </c>
      <c r="AL53" s="10">
        <f t="shared" si="9"/>
        <v>700304.04997822584</v>
      </c>
      <c r="AM53" s="10">
        <f t="shared" si="9"/>
        <v>700304.04997822584</v>
      </c>
    </row>
    <row r="54" spans="1:39" x14ac:dyDescent="0.3">
      <c r="A54" t="s">
        <v>131</v>
      </c>
      <c r="B54" s="25">
        <f>'BCA Values'!H14</f>
        <v>302600</v>
      </c>
      <c r="C54" s="16">
        <f t="shared" si="5"/>
        <v>20104595.331688523</v>
      </c>
      <c r="D54" s="16">
        <f t="shared" si="6"/>
        <v>10501463.835398134</v>
      </c>
      <c r="E54" s="16">
        <f t="shared" si="7"/>
        <v>35523721.921526864</v>
      </c>
      <c r="F54" s="10">
        <f t="shared" ref="F54:I54" si="10">(F49*$B$22)*$B$54</f>
        <v>0</v>
      </c>
      <c r="G54" s="10">
        <f t="shared" si="10"/>
        <v>0</v>
      </c>
      <c r="H54" s="10">
        <f t="shared" si="10"/>
        <v>0</v>
      </c>
      <c r="I54" s="10">
        <f t="shared" si="10"/>
        <v>117240.00634167281</v>
      </c>
      <c r="J54" s="10">
        <f t="shared" ref="J54:AM54" si="11">(J49*$B$22)*$B$54</f>
        <v>234480.01268334562</v>
      </c>
      <c r="K54" s="10">
        <f t="shared" si="11"/>
        <v>625280.03382225486</v>
      </c>
      <c r="L54" s="10">
        <f t="shared" si="11"/>
        <v>937920.05073338246</v>
      </c>
      <c r="M54" s="10">
        <f t="shared" si="11"/>
        <v>1094240.0591889462</v>
      </c>
      <c r="N54" s="10">
        <f t="shared" si="11"/>
        <v>1250560.0676445097</v>
      </c>
      <c r="O54" s="10">
        <f t="shared" si="11"/>
        <v>1250560.0676445097</v>
      </c>
      <c r="P54" s="10">
        <f t="shared" si="11"/>
        <v>1250560.0676445097</v>
      </c>
      <c r="Q54" s="10">
        <f t="shared" si="11"/>
        <v>1250560.0676445097</v>
      </c>
      <c r="R54" s="10">
        <f t="shared" si="11"/>
        <v>1250560.0676445097</v>
      </c>
      <c r="S54" s="10">
        <f t="shared" si="11"/>
        <v>1250560.0676445097</v>
      </c>
      <c r="T54" s="10">
        <f t="shared" si="11"/>
        <v>1250560.0676445097</v>
      </c>
      <c r="U54" s="10">
        <f t="shared" si="11"/>
        <v>1250560.0676445097</v>
      </c>
      <c r="V54" s="10">
        <f t="shared" si="11"/>
        <v>1250560.0676445097</v>
      </c>
      <c r="W54" s="10">
        <f t="shared" si="11"/>
        <v>1250560.0676445097</v>
      </c>
      <c r="X54" s="10">
        <f t="shared" si="11"/>
        <v>1250560.0676445097</v>
      </c>
      <c r="Y54" s="10">
        <f t="shared" si="11"/>
        <v>1250560.0676445097</v>
      </c>
      <c r="Z54" s="10">
        <f t="shared" si="11"/>
        <v>1250560.0676445097</v>
      </c>
      <c r="AA54" s="10">
        <f t="shared" si="11"/>
        <v>1250560.0676445097</v>
      </c>
      <c r="AB54" s="10">
        <f t="shared" si="11"/>
        <v>1250560.0676445097</v>
      </c>
      <c r="AC54" s="10">
        <f t="shared" si="11"/>
        <v>1250560.0676445097</v>
      </c>
      <c r="AD54" s="10">
        <f t="shared" si="11"/>
        <v>1250560.0676445097</v>
      </c>
      <c r="AE54" s="10">
        <f t="shared" si="11"/>
        <v>1250560.0676445097</v>
      </c>
      <c r="AF54" s="10">
        <f t="shared" si="11"/>
        <v>1250560.0676445097</v>
      </c>
      <c r="AG54" s="10">
        <f t="shared" si="11"/>
        <v>1250560.0676445097</v>
      </c>
      <c r="AH54" s="10">
        <f t="shared" si="11"/>
        <v>1250560.0676445097</v>
      </c>
      <c r="AI54" s="10">
        <f t="shared" si="11"/>
        <v>1250560.0676445097</v>
      </c>
      <c r="AJ54" s="10">
        <f t="shared" si="11"/>
        <v>1250560.0676445097</v>
      </c>
      <c r="AK54" s="10">
        <f t="shared" si="11"/>
        <v>1250560.0676445097</v>
      </c>
      <c r="AL54" s="10">
        <f t="shared" si="11"/>
        <v>1250560.0676445097</v>
      </c>
      <c r="AM54" s="10">
        <f t="shared" si="11"/>
        <v>1250560.0676445097</v>
      </c>
    </row>
    <row r="55" spans="1:39" x14ac:dyDescent="0.3">
      <c r="A55" t="s">
        <v>132</v>
      </c>
      <c r="B55" s="25">
        <f>'BCA Values'!H20</f>
        <v>4600</v>
      </c>
      <c r="C55" s="16">
        <f t="shared" si="5"/>
        <v>509903.30453322222</v>
      </c>
      <c r="D55" s="16">
        <f t="shared" si="6"/>
        <v>266343.64053404226</v>
      </c>
      <c r="E55" s="16">
        <f t="shared" si="7"/>
        <v>900971.29030771193</v>
      </c>
      <c r="F55" s="10">
        <f t="shared" ref="F55:I55" si="12">(F49*$D$22)*$B$55</f>
        <v>0</v>
      </c>
      <c r="G55" s="10">
        <f t="shared" si="12"/>
        <v>0</v>
      </c>
      <c r="H55" s="10">
        <f t="shared" si="12"/>
        <v>0</v>
      </c>
      <c r="I55" s="10">
        <f t="shared" si="12"/>
        <v>2973.5026082762752</v>
      </c>
      <c r="J55" s="10">
        <f t="shared" ref="J55:AM55" si="13">(J49*$D$22)*$B$55</f>
        <v>5947.0052165525503</v>
      </c>
      <c r="K55" s="10">
        <f t="shared" si="13"/>
        <v>15858.680577473469</v>
      </c>
      <c r="L55" s="10">
        <f t="shared" si="13"/>
        <v>23788.020866210201</v>
      </c>
      <c r="M55" s="10">
        <f t="shared" si="13"/>
        <v>27752.691010578572</v>
      </c>
      <c r="N55" s="10">
        <f t="shared" si="13"/>
        <v>31717.361154946939</v>
      </c>
      <c r="O55" s="10">
        <f t="shared" si="13"/>
        <v>31717.361154946939</v>
      </c>
      <c r="P55" s="10">
        <f t="shared" si="13"/>
        <v>31717.361154946939</v>
      </c>
      <c r="Q55" s="10">
        <f t="shared" si="13"/>
        <v>31717.361154946939</v>
      </c>
      <c r="R55" s="10">
        <f t="shared" si="13"/>
        <v>31717.361154946939</v>
      </c>
      <c r="S55" s="10">
        <f t="shared" si="13"/>
        <v>31717.361154946939</v>
      </c>
      <c r="T55" s="10">
        <f t="shared" si="13"/>
        <v>31717.361154946939</v>
      </c>
      <c r="U55" s="10">
        <f t="shared" si="13"/>
        <v>31717.361154946939</v>
      </c>
      <c r="V55" s="10">
        <f t="shared" si="13"/>
        <v>31717.361154946939</v>
      </c>
      <c r="W55" s="10">
        <f t="shared" si="13"/>
        <v>31717.361154946939</v>
      </c>
      <c r="X55" s="10">
        <f t="shared" si="13"/>
        <v>31717.361154946939</v>
      </c>
      <c r="Y55" s="10">
        <f t="shared" si="13"/>
        <v>31717.361154946939</v>
      </c>
      <c r="Z55" s="10">
        <f t="shared" si="13"/>
        <v>31717.361154946939</v>
      </c>
      <c r="AA55" s="10">
        <f t="shared" si="13"/>
        <v>31717.361154946939</v>
      </c>
      <c r="AB55" s="10">
        <f t="shared" si="13"/>
        <v>31717.361154946939</v>
      </c>
      <c r="AC55" s="10">
        <f t="shared" si="13"/>
        <v>31717.361154946939</v>
      </c>
      <c r="AD55" s="10">
        <f t="shared" si="13"/>
        <v>31717.361154946939</v>
      </c>
      <c r="AE55" s="10">
        <f t="shared" si="13"/>
        <v>31717.361154946939</v>
      </c>
      <c r="AF55" s="10">
        <f t="shared" si="13"/>
        <v>31717.361154946939</v>
      </c>
      <c r="AG55" s="10">
        <f t="shared" si="13"/>
        <v>31717.361154946939</v>
      </c>
      <c r="AH55" s="10">
        <f t="shared" si="13"/>
        <v>31717.361154946939</v>
      </c>
      <c r="AI55" s="10">
        <f t="shared" si="13"/>
        <v>31717.361154946939</v>
      </c>
      <c r="AJ55" s="10">
        <f t="shared" si="13"/>
        <v>31717.361154946939</v>
      </c>
      <c r="AK55" s="10">
        <f t="shared" si="13"/>
        <v>31717.361154946939</v>
      </c>
      <c r="AL55" s="10">
        <f t="shared" si="13"/>
        <v>31717.361154946939</v>
      </c>
      <c r="AM55" s="10">
        <f t="shared" si="13"/>
        <v>31717.361154946939</v>
      </c>
    </row>
    <row r="56" spans="1:39" x14ac:dyDescent="0.3">
      <c r="A56" t="s">
        <v>133</v>
      </c>
      <c r="B56" s="76"/>
      <c r="C56" s="16">
        <f t="shared" si="5"/>
        <v>4458373.104103799</v>
      </c>
      <c r="D56" s="16">
        <f t="shared" si="6"/>
        <v>2285272.4497474418</v>
      </c>
      <c r="E56" s="16">
        <f t="shared" si="7"/>
        <v>7997045.2648400571</v>
      </c>
      <c r="F56" s="10">
        <f t="shared" ref="F56:I56" si="14">(F49*$C$27*F50)+(F49*$C$29*F51)+(F49*$C$30*F52)</f>
        <v>0</v>
      </c>
      <c r="G56" s="10">
        <f t="shared" si="14"/>
        <v>0</v>
      </c>
      <c r="H56" s="10">
        <f t="shared" si="14"/>
        <v>0</v>
      </c>
      <c r="I56" s="10">
        <f t="shared" si="14"/>
        <v>22129.369453074432</v>
      </c>
      <c r="J56" s="10">
        <f t="shared" ref="J56:AM56" si="15">(J49*$C$27*J50)+(J49*$C$29*J51)+(J49*$C$30*J52)</f>
        <v>45025.475928077823</v>
      </c>
      <c r="K56" s="10">
        <f t="shared" si="15"/>
        <v>122117.29097146292</v>
      </c>
      <c r="L56" s="10">
        <f t="shared" si="15"/>
        <v>187702.32392137009</v>
      </c>
      <c r="M56" s="10">
        <f t="shared" si="15"/>
        <v>222613.74327743787</v>
      </c>
      <c r="N56" s="10">
        <f t="shared" si="15"/>
        <v>258904.5453839752</v>
      </c>
      <c r="O56" s="10">
        <f t="shared" si="15"/>
        <v>260812.67971436284</v>
      </c>
      <c r="P56" s="10">
        <f t="shared" si="15"/>
        <v>262720.81404475047</v>
      </c>
      <c r="Q56" s="10">
        <f t="shared" si="15"/>
        <v>264628.9483751381</v>
      </c>
      <c r="R56" s="10">
        <f t="shared" si="15"/>
        <v>266537.08270552568</v>
      </c>
      <c r="S56" s="10">
        <f t="shared" si="15"/>
        <v>268445.21703591332</v>
      </c>
      <c r="T56" s="10">
        <f t="shared" si="15"/>
        <v>272261.48569668853</v>
      </c>
      <c r="U56" s="10">
        <f t="shared" si="15"/>
        <v>274169.62002707616</v>
      </c>
      <c r="V56" s="10">
        <f t="shared" si="15"/>
        <v>276077.7543574638</v>
      </c>
      <c r="W56" s="10">
        <f t="shared" si="15"/>
        <v>277985.88868785143</v>
      </c>
      <c r="X56" s="10">
        <f t="shared" si="15"/>
        <v>279894.02301823901</v>
      </c>
      <c r="Y56" s="10">
        <f t="shared" si="15"/>
        <v>281802.15734862664</v>
      </c>
      <c r="Z56" s="10">
        <f t="shared" si="15"/>
        <v>283710.29167901428</v>
      </c>
      <c r="AA56" s="10">
        <f t="shared" si="15"/>
        <v>287526.56033978949</v>
      </c>
      <c r="AB56" s="10">
        <f t="shared" si="15"/>
        <v>289434.69467017712</v>
      </c>
      <c r="AC56" s="10">
        <f t="shared" si="15"/>
        <v>291342.82900056476</v>
      </c>
      <c r="AD56" s="10">
        <f t="shared" si="15"/>
        <v>293250.96333095239</v>
      </c>
      <c r="AE56" s="10">
        <f t="shared" si="15"/>
        <v>295159.09766133997</v>
      </c>
      <c r="AF56" s="10">
        <f t="shared" si="15"/>
        <v>297067.2319917276</v>
      </c>
      <c r="AG56" s="10">
        <f t="shared" si="15"/>
        <v>298975.36632211524</v>
      </c>
      <c r="AH56" s="10">
        <f t="shared" si="15"/>
        <v>302791.63498289045</v>
      </c>
      <c r="AI56" s="10">
        <f t="shared" si="15"/>
        <v>302791.63498289045</v>
      </c>
      <c r="AJ56" s="10">
        <f t="shared" si="15"/>
        <v>302791.63498289045</v>
      </c>
      <c r="AK56" s="10">
        <f t="shared" si="15"/>
        <v>302791.63498289045</v>
      </c>
      <c r="AL56" s="10">
        <f t="shared" si="15"/>
        <v>302791.63498289045</v>
      </c>
      <c r="AM56" s="10">
        <f t="shared" si="15"/>
        <v>302791.63498289045</v>
      </c>
    </row>
    <row r="57" spans="1:39" x14ac:dyDescent="0.3">
      <c r="A57" t="s">
        <v>134</v>
      </c>
      <c r="B57" s="25">
        <f>'project benefits_PAMT_pubbridge'!$C$16</f>
        <v>296.22008474576268</v>
      </c>
      <c r="C57" s="16">
        <f t="shared" si="5"/>
        <v>227400018.57103726</v>
      </c>
      <c r="D57" s="16">
        <f t="shared" si="6"/>
        <v>118382159.84527214</v>
      </c>
      <c r="E57" s="16">
        <f t="shared" si="7"/>
        <v>402563095.16949135</v>
      </c>
      <c r="F57">
        <v>0</v>
      </c>
      <c r="G57">
        <v>0</v>
      </c>
      <c r="H57">
        <v>0</v>
      </c>
      <c r="I57">
        <v>0</v>
      </c>
      <c r="J57" s="3">
        <f>'project benefits_PAMT_pubbridge'!E7*$B$57</f>
        <v>2665980.762711864</v>
      </c>
      <c r="K57" s="3">
        <f>'project benefits_PAMT_pubbridge'!E8*$B$57</f>
        <v>7109282.0338983042</v>
      </c>
      <c r="L57" s="3">
        <f>'project benefits_PAMT_pubbridge'!E9*B57</f>
        <v>10663923.050847456</v>
      </c>
      <c r="M57" s="3">
        <f>'project benefits_PAMT_pubbridge'!E10*$B$57</f>
        <v>12441243.559322033</v>
      </c>
      <c r="N57" s="3">
        <f>'project benefits_PAMT_pubbridge'!E11*$B$57</f>
        <v>14218564.067796608</v>
      </c>
      <c r="O57" s="3">
        <f>N57</f>
        <v>14218564.067796608</v>
      </c>
      <c r="P57" s="3">
        <f t="shared" ref="P57:AM57" si="16">O57</f>
        <v>14218564.067796608</v>
      </c>
      <c r="Q57" s="3">
        <f t="shared" si="16"/>
        <v>14218564.067796608</v>
      </c>
      <c r="R57" s="3">
        <f t="shared" si="16"/>
        <v>14218564.067796608</v>
      </c>
      <c r="S57" s="3">
        <f t="shared" si="16"/>
        <v>14218564.067796608</v>
      </c>
      <c r="T57" s="3">
        <f t="shared" si="16"/>
        <v>14218564.067796608</v>
      </c>
      <c r="U57" s="3">
        <f t="shared" si="16"/>
        <v>14218564.067796608</v>
      </c>
      <c r="V57" s="3">
        <f t="shared" si="16"/>
        <v>14218564.067796608</v>
      </c>
      <c r="W57" s="3">
        <f t="shared" si="16"/>
        <v>14218564.067796608</v>
      </c>
      <c r="X57" s="3">
        <f t="shared" si="16"/>
        <v>14218564.067796608</v>
      </c>
      <c r="Y57" s="3">
        <f t="shared" si="16"/>
        <v>14218564.067796608</v>
      </c>
      <c r="Z57" s="3">
        <f t="shared" si="16"/>
        <v>14218564.067796608</v>
      </c>
      <c r="AA57" s="3">
        <f t="shared" si="16"/>
        <v>14218564.067796608</v>
      </c>
      <c r="AB57" s="3">
        <f t="shared" si="16"/>
        <v>14218564.067796608</v>
      </c>
      <c r="AC57" s="3">
        <f t="shared" si="16"/>
        <v>14218564.067796608</v>
      </c>
      <c r="AD57" s="3">
        <f t="shared" si="16"/>
        <v>14218564.067796608</v>
      </c>
      <c r="AE57" s="3">
        <f t="shared" si="16"/>
        <v>14218564.067796608</v>
      </c>
      <c r="AF57" s="3">
        <f t="shared" si="16"/>
        <v>14218564.067796608</v>
      </c>
      <c r="AG57" s="3">
        <f t="shared" si="16"/>
        <v>14218564.067796608</v>
      </c>
      <c r="AH57" s="3">
        <f t="shared" si="16"/>
        <v>14218564.067796608</v>
      </c>
      <c r="AI57" s="3">
        <f t="shared" si="16"/>
        <v>14218564.067796608</v>
      </c>
      <c r="AJ57" s="3">
        <f t="shared" si="16"/>
        <v>14218564.067796608</v>
      </c>
      <c r="AK57" s="3">
        <f t="shared" si="16"/>
        <v>14218564.067796608</v>
      </c>
      <c r="AL57" s="3">
        <f t="shared" si="16"/>
        <v>14218564.067796608</v>
      </c>
      <c r="AM57" s="3">
        <f t="shared" si="16"/>
        <v>14218564.067796608</v>
      </c>
    </row>
    <row r="58" spans="1:39" x14ac:dyDescent="0.3">
      <c r="A58" t="s">
        <v>52</v>
      </c>
      <c r="B58" s="25">
        <f>'BCA Values'!$L$37</f>
        <v>1.9699999999999999E-2</v>
      </c>
      <c r="C58" s="16">
        <f t="shared" si="5"/>
        <v>1495838.081519268</v>
      </c>
      <c r="D58" s="16">
        <f t="shared" si="6"/>
        <v>781338.25911563903</v>
      </c>
      <c r="E58" s="16">
        <f t="shared" si="7"/>
        <v>2643064.1935759764</v>
      </c>
      <c r="F58">
        <f>$B$58*F49</f>
        <v>0</v>
      </c>
      <c r="G58">
        <f t="shared" ref="G58:I58" si="17">$B$58*G49</f>
        <v>0</v>
      </c>
      <c r="H58">
        <f t="shared" si="17"/>
        <v>0</v>
      </c>
      <c r="I58">
        <f t="shared" si="17"/>
        <v>8722.9841372144419</v>
      </c>
      <c r="J58">
        <f t="shared" ref="J58:AM58" si="18">$B$58*J49</f>
        <v>17445.968274428884</v>
      </c>
      <c r="K58">
        <f t="shared" si="18"/>
        <v>46522.582065143695</v>
      </c>
      <c r="L58">
        <f t="shared" si="18"/>
        <v>69783.873097715536</v>
      </c>
      <c r="M58">
        <f t="shared" si="18"/>
        <v>81414.51861400147</v>
      </c>
      <c r="N58">
        <f t="shared" si="18"/>
        <v>93045.16413028739</v>
      </c>
      <c r="O58">
        <f t="shared" si="18"/>
        <v>93045.16413028739</v>
      </c>
      <c r="P58">
        <f t="shared" si="18"/>
        <v>93045.16413028739</v>
      </c>
      <c r="Q58">
        <f t="shared" si="18"/>
        <v>93045.16413028739</v>
      </c>
      <c r="R58">
        <f t="shared" si="18"/>
        <v>93045.16413028739</v>
      </c>
      <c r="S58">
        <f t="shared" si="18"/>
        <v>93045.16413028739</v>
      </c>
      <c r="T58">
        <f t="shared" si="18"/>
        <v>93045.16413028739</v>
      </c>
      <c r="U58">
        <f t="shared" si="18"/>
        <v>93045.16413028739</v>
      </c>
      <c r="V58">
        <f t="shared" si="18"/>
        <v>93045.16413028739</v>
      </c>
      <c r="W58">
        <f t="shared" si="18"/>
        <v>93045.16413028739</v>
      </c>
      <c r="X58">
        <f t="shared" si="18"/>
        <v>93045.16413028739</v>
      </c>
      <c r="Y58">
        <f t="shared" si="18"/>
        <v>93045.16413028739</v>
      </c>
      <c r="Z58">
        <f t="shared" si="18"/>
        <v>93045.16413028739</v>
      </c>
      <c r="AA58">
        <f t="shared" si="18"/>
        <v>93045.16413028739</v>
      </c>
      <c r="AB58">
        <f t="shared" si="18"/>
        <v>93045.16413028739</v>
      </c>
      <c r="AC58">
        <f t="shared" si="18"/>
        <v>93045.16413028739</v>
      </c>
      <c r="AD58">
        <f t="shared" si="18"/>
        <v>93045.16413028739</v>
      </c>
      <c r="AE58">
        <f t="shared" si="18"/>
        <v>93045.16413028739</v>
      </c>
      <c r="AF58">
        <f t="shared" si="18"/>
        <v>93045.16413028739</v>
      </c>
      <c r="AG58">
        <f t="shared" si="18"/>
        <v>93045.16413028739</v>
      </c>
      <c r="AH58">
        <f t="shared" si="18"/>
        <v>93045.16413028739</v>
      </c>
      <c r="AI58">
        <f t="shared" si="18"/>
        <v>93045.16413028739</v>
      </c>
      <c r="AJ58">
        <f t="shared" si="18"/>
        <v>93045.16413028739</v>
      </c>
      <c r="AK58">
        <f t="shared" si="18"/>
        <v>93045.16413028739</v>
      </c>
      <c r="AL58">
        <f t="shared" si="18"/>
        <v>93045.16413028739</v>
      </c>
      <c r="AM58">
        <f t="shared" si="18"/>
        <v>93045.16413028739</v>
      </c>
    </row>
    <row r="59" spans="1:39" x14ac:dyDescent="0.3">
      <c r="A59" t="s">
        <v>53</v>
      </c>
      <c r="B59" s="25">
        <f>'BCA Values'!$K$37</f>
        <v>0.21199999999999999</v>
      </c>
      <c r="C59" s="16">
        <f t="shared" si="5"/>
        <v>16097343.821425619</v>
      </c>
      <c r="D59" s="16">
        <f t="shared" si="6"/>
        <v>8408310.1996200755</v>
      </c>
      <c r="E59" s="16">
        <f t="shared" si="7"/>
        <v>28443127.362340443</v>
      </c>
      <c r="F59" s="3">
        <f>$B$59*F$49</f>
        <v>0</v>
      </c>
      <c r="G59" s="3">
        <f t="shared" ref="G59:I59" si="19">$B$59*G49</f>
        <v>0</v>
      </c>
      <c r="H59" s="3">
        <f t="shared" si="19"/>
        <v>0</v>
      </c>
      <c r="I59" s="3">
        <f t="shared" si="19"/>
        <v>93871.70746647015</v>
      </c>
      <c r="J59" s="3">
        <f t="shared" ref="J59:AM59" si="20">$B$59*J49</f>
        <v>187743.4149329403</v>
      </c>
      <c r="K59" s="3">
        <f t="shared" si="20"/>
        <v>500649.10648784076</v>
      </c>
      <c r="L59" s="3">
        <f t="shared" si="20"/>
        <v>750973.6597317612</v>
      </c>
      <c r="M59" s="3">
        <f t="shared" si="20"/>
        <v>876135.93635372142</v>
      </c>
      <c r="N59" s="3">
        <f t="shared" si="20"/>
        <v>1001298.2129756815</v>
      </c>
      <c r="O59" s="3">
        <f t="shared" si="20"/>
        <v>1001298.2129756815</v>
      </c>
      <c r="P59" s="3">
        <f t="shared" si="20"/>
        <v>1001298.2129756815</v>
      </c>
      <c r="Q59" s="3">
        <f t="shared" si="20"/>
        <v>1001298.2129756815</v>
      </c>
      <c r="R59" s="3">
        <f t="shared" si="20"/>
        <v>1001298.2129756815</v>
      </c>
      <c r="S59" s="3">
        <f t="shared" si="20"/>
        <v>1001298.2129756815</v>
      </c>
      <c r="T59" s="3">
        <f t="shared" si="20"/>
        <v>1001298.2129756815</v>
      </c>
      <c r="U59" s="3">
        <f t="shared" si="20"/>
        <v>1001298.2129756815</v>
      </c>
      <c r="V59" s="3">
        <f t="shared" si="20"/>
        <v>1001298.2129756815</v>
      </c>
      <c r="W59" s="3">
        <f t="shared" si="20"/>
        <v>1001298.2129756815</v>
      </c>
      <c r="X59" s="3">
        <f t="shared" si="20"/>
        <v>1001298.2129756815</v>
      </c>
      <c r="Y59" s="3">
        <f t="shared" si="20"/>
        <v>1001298.2129756815</v>
      </c>
      <c r="Z59" s="3">
        <f t="shared" si="20"/>
        <v>1001298.2129756815</v>
      </c>
      <c r="AA59" s="3">
        <f t="shared" si="20"/>
        <v>1001298.2129756815</v>
      </c>
      <c r="AB59" s="3">
        <f t="shared" si="20"/>
        <v>1001298.2129756815</v>
      </c>
      <c r="AC59" s="3">
        <f t="shared" si="20"/>
        <v>1001298.2129756815</v>
      </c>
      <c r="AD59" s="3">
        <f t="shared" si="20"/>
        <v>1001298.2129756815</v>
      </c>
      <c r="AE59" s="3">
        <f t="shared" si="20"/>
        <v>1001298.2129756815</v>
      </c>
      <c r="AF59" s="3">
        <f t="shared" si="20"/>
        <v>1001298.2129756815</v>
      </c>
      <c r="AG59" s="3">
        <f t="shared" si="20"/>
        <v>1001298.2129756815</v>
      </c>
      <c r="AH59" s="3">
        <f t="shared" si="20"/>
        <v>1001298.2129756815</v>
      </c>
      <c r="AI59" s="3">
        <f t="shared" si="20"/>
        <v>1001298.2129756815</v>
      </c>
      <c r="AJ59" s="3">
        <f t="shared" si="20"/>
        <v>1001298.2129756815</v>
      </c>
      <c r="AK59" s="3">
        <f t="shared" si="20"/>
        <v>1001298.2129756815</v>
      </c>
      <c r="AL59" s="3">
        <f t="shared" si="20"/>
        <v>1001298.2129756815</v>
      </c>
      <c r="AM59" s="3">
        <f t="shared" si="20"/>
        <v>1001298.2129756815</v>
      </c>
    </row>
    <row r="60" spans="1:39" x14ac:dyDescent="0.3">
      <c r="A60" t="s">
        <v>124</v>
      </c>
      <c r="B60" s="25">
        <f>B43</f>
        <v>0.06</v>
      </c>
      <c r="C60" s="16">
        <f t="shared" si="5"/>
        <v>4555852.0249317791</v>
      </c>
      <c r="D60" s="16">
        <f t="shared" si="6"/>
        <v>2379710.4338547373</v>
      </c>
      <c r="E60" s="16">
        <f t="shared" si="7"/>
        <v>8049941.7063227715</v>
      </c>
      <c r="F60" s="3">
        <f>$B$60*F$49</f>
        <v>0</v>
      </c>
      <c r="G60" s="3">
        <f t="shared" ref="G60:I60" si="21">$B$60*G$49</f>
        <v>0</v>
      </c>
      <c r="H60" s="3">
        <f t="shared" si="21"/>
        <v>0</v>
      </c>
      <c r="I60" s="3">
        <f t="shared" si="21"/>
        <v>26567.464377302873</v>
      </c>
      <c r="J60" s="3">
        <f t="shared" ref="J60:AM60" si="22">$B$60*J$49</f>
        <v>53134.928754605746</v>
      </c>
      <c r="K60" s="3">
        <f t="shared" si="22"/>
        <v>141693.1433456153</v>
      </c>
      <c r="L60" s="3">
        <f t="shared" si="22"/>
        <v>212539.71501842298</v>
      </c>
      <c r="M60" s="3">
        <f t="shared" si="22"/>
        <v>247963.00085482682</v>
      </c>
      <c r="N60" s="3">
        <f t="shared" si="22"/>
        <v>283386.28669123061</v>
      </c>
      <c r="O60" s="3">
        <f t="shared" si="22"/>
        <v>283386.28669123061</v>
      </c>
      <c r="P60" s="3">
        <f t="shared" si="22"/>
        <v>283386.28669123061</v>
      </c>
      <c r="Q60" s="3">
        <f t="shared" si="22"/>
        <v>283386.28669123061</v>
      </c>
      <c r="R60" s="3">
        <f t="shared" si="22"/>
        <v>283386.28669123061</v>
      </c>
      <c r="S60" s="3">
        <f t="shared" si="22"/>
        <v>283386.28669123061</v>
      </c>
      <c r="T60" s="3">
        <f t="shared" si="22"/>
        <v>283386.28669123061</v>
      </c>
      <c r="U60" s="3">
        <f t="shared" si="22"/>
        <v>283386.28669123061</v>
      </c>
      <c r="V60" s="3">
        <f t="shared" si="22"/>
        <v>283386.28669123061</v>
      </c>
      <c r="W60" s="3">
        <f t="shared" si="22"/>
        <v>283386.28669123061</v>
      </c>
      <c r="X60" s="3">
        <f t="shared" si="22"/>
        <v>283386.28669123061</v>
      </c>
      <c r="Y60" s="3">
        <f t="shared" si="22"/>
        <v>283386.28669123061</v>
      </c>
      <c r="Z60" s="3">
        <f t="shared" si="22"/>
        <v>283386.28669123061</v>
      </c>
      <c r="AA60" s="3">
        <f t="shared" si="22"/>
        <v>283386.28669123061</v>
      </c>
      <c r="AB60" s="3">
        <f t="shared" si="22"/>
        <v>283386.28669123061</v>
      </c>
      <c r="AC60" s="3">
        <f t="shared" si="22"/>
        <v>283386.28669123061</v>
      </c>
      <c r="AD60" s="3">
        <f t="shared" si="22"/>
        <v>283386.28669123061</v>
      </c>
      <c r="AE60" s="3">
        <f t="shared" si="22"/>
        <v>283386.28669123061</v>
      </c>
      <c r="AF60" s="3">
        <f t="shared" si="22"/>
        <v>283386.28669123061</v>
      </c>
      <c r="AG60" s="3">
        <f t="shared" si="22"/>
        <v>283386.28669123061</v>
      </c>
      <c r="AH60" s="3">
        <f t="shared" si="22"/>
        <v>283386.28669123061</v>
      </c>
      <c r="AI60" s="3">
        <f t="shared" si="22"/>
        <v>283386.28669123061</v>
      </c>
      <c r="AJ60" s="3">
        <f t="shared" si="22"/>
        <v>283386.28669123061</v>
      </c>
      <c r="AK60" s="3">
        <f t="shared" si="22"/>
        <v>283386.28669123061</v>
      </c>
      <c r="AL60" s="3">
        <f t="shared" si="22"/>
        <v>283386.28669123061</v>
      </c>
      <c r="AM60" s="3">
        <f t="shared" si="22"/>
        <v>283386.28669123061</v>
      </c>
    </row>
    <row r="61" spans="1:39" x14ac:dyDescent="0.3">
      <c r="B61" s="25"/>
      <c r="F61" s="3"/>
    </row>
    <row r="62" spans="1:39" x14ac:dyDescent="0.3">
      <c r="A62" s="57" t="s">
        <v>135</v>
      </c>
      <c r="B62" s="73">
        <f>C16</f>
        <v>0.94</v>
      </c>
      <c r="C62" s="72">
        <f>NPV($C$47, F62:AM62)</f>
        <v>71375015.057264522</v>
      </c>
      <c r="D62" s="72">
        <f>NPV($D$47, F62:AM62)</f>
        <v>37282130.130390897</v>
      </c>
      <c r="E62" s="72">
        <f>SUM(F62:AM62)</f>
        <v>126115753.39905679</v>
      </c>
      <c r="F62" s="72">
        <f t="shared" ref="F62:I62" si="23">F49*$B$62</f>
        <v>0</v>
      </c>
      <c r="G62" s="72">
        <f t="shared" si="23"/>
        <v>0</v>
      </c>
      <c r="H62" s="72">
        <f t="shared" si="23"/>
        <v>0</v>
      </c>
      <c r="I62" s="72">
        <f t="shared" si="23"/>
        <v>416223.60857774498</v>
      </c>
      <c r="J62" s="72">
        <f t="shared" ref="J62:AM62" si="24">J49*$B$62</f>
        <v>832447.21715548995</v>
      </c>
      <c r="K62" s="72">
        <f t="shared" si="24"/>
        <v>2219859.2457479732</v>
      </c>
      <c r="L62" s="72">
        <f t="shared" si="24"/>
        <v>3329788.8686219598</v>
      </c>
      <c r="M62" s="72">
        <f t="shared" si="24"/>
        <v>3884753.6800589534</v>
      </c>
      <c r="N62" s="72">
        <f t="shared" si="24"/>
        <v>4439718.4914959464</v>
      </c>
      <c r="O62" s="72">
        <f t="shared" si="24"/>
        <v>4439718.4914959464</v>
      </c>
      <c r="P62" s="72">
        <f t="shared" si="24"/>
        <v>4439718.4914959464</v>
      </c>
      <c r="Q62" s="72">
        <f t="shared" si="24"/>
        <v>4439718.4914959464</v>
      </c>
      <c r="R62" s="72">
        <f t="shared" si="24"/>
        <v>4439718.4914959464</v>
      </c>
      <c r="S62" s="72">
        <f t="shared" si="24"/>
        <v>4439718.4914959464</v>
      </c>
      <c r="T62" s="72">
        <f t="shared" si="24"/>
        <v>4439718.4914959464</v>
      </c>
      <c r="U62" s="72">
        <f t="shared" si="24"/>
        <v>4439718.4914959464</v>
      </c>
      <c r="V62" s="72">
        <f t="shared" si="24"/>
        <v>4439718.4914959464</v>
      </c>
      <c r="W62" s="72">
        <f t="shared" si="24"/>
        <v>4439718.4914959464</v>
      </c>
      <c r="X62" s="72">
        <f t="shared" si="24"/>
        <v>4439718.4914959464</v>
      </c>
      <c r="Y62" s="72">
        <f t="shared" si="24"/>
        <v>4439718.4914959464</v>
      </c>
      <c r="Z62" s="72">
        <f t="shared" si="24"/>
        <v>4439718.4914959464</v>
      </c>
      <c r="AA62" s="72">
        <f t="shared" si="24"/>
        <v>4439718.4914959464</v>
      </c>
      <c r="AB62" s="72">
        <f t="shared" si="24"/>
        <v>4439718.4914959464</v>
      </c>
      <c r="AC62" s="72">
        <f t="shared" si="24"/>
        <v>4439718.4914959464</v>
      </c>
      <c r="AD62" s="72">
        <f t="shared" si="24"/>
        <v>4439718.4914959464</v>
      </c>
      <c r="AE62" s="72">
        <f t="shared" si="24"/>
        <v>4439718.4914959464</v>
      </c>
      <c r="AF62" s="72">
        <f t="shared" si="24"/>
        <v>4439718.4914959464</v>
      </c>
      <c r="AG62" s="72">
        <f t="shared" si="24"/>
        <v>4439718.4914959464</v>
      </c>
      <c r="AH62" s="72">
        <f t="shared" si="24"/>
        <v>4439718.4914959464</v>
      </c>
      <c r="AI62" s="72">
        <f t="shared" si="24"/>
        <v>4439718.4914959464</v>
      </c>
      <c r="AJ62" s="72">
        <f t="shared" si="24"/>
        <v>4439718.4914959464</v>
      </c>
      <c r="AK62" s="72">
        <f t="shared" si="24"/>
        <v>4439718.4914959464</v>
      </c>
      <c r="AL62" s="72">
        <f t="shared" si="24"/>
        <v>4439718.4914959464</v>
      </c>
      <c r="AM62" s="72">
        <f t="shared" si="24"/>
        <v>4439718.4914959464</v>
      </c>
    </row>
    <row r="63" spans="1:39" x14ac:dyDescent="0.3">
      <c r="A63" s="57" t="s">
        <v>29</v>
      </c>
      <c r="B63" s="57"/>
      <c r="C63" s="72">
        <f>NPV($C$47, F63:AM63)</f>
        <v>10979428.826368159</v>
      </c>
      <c r="D63" s="72">
        <f>NPV($D$47, F63:AM63)</f>
        <v>5735010.9689449454</v>
      </c>
      <c r="E63" s="72">
        <f>SUM(F63:AM63)</f>
        <v>19400051.085352574</v>
      </c>
      <c r="F63" s="73">
        <f t="shared" ref="F63:I63" si="25">(F49/$B$8)*$C$8</f>
        <v>0</v>
      </c>
      <c r="G63" s="73">
        <f t="shared" si="25"/>
        <v>0</v>
      </c>
      <c r="H63" s="73">
        <f t="shared" si="25"/>
        <v>0</v>
      </c>
      <c r="I63" s="73">
        <f t="shared" si="25"/>
        <v>64026.571238787379</v>
      </c>
      <c r="J63" s="73">
        <f t="shared" ref="J63:AM63" si="26">(J49/$B$8)*$C$8</f>
        <v>128053.14247757476</v>
      </c>
      <c r="K63" s="73">
        <f t="shared" si="26"/>
        <v>341475.04660686606</v>
      </c>
      <c r="L63" s="73">
        <f t="shared" si="26"/>
        <v>512212.56991029903</v>
      </c>
      <c r="M63" s="73">
        <f t="shared" si="26"/>
        <v>597581.33156201558</v>
      </c>
      <c r="N63" s="73">
        <f t="shared" si="26"/>
        <v>682950.09321373212</v>
      </c>
      <c r="O63" s="73">
        <f t="shared" si="26"/>
        <v>682950.09321373212</v>
      </c>
      <c r="P63" s="73">
        <f t="shared" si="26"/>
        <v>682950.09321373212</v>
      </c>
      <c r="Q63" s="73">
        <f t="shared" si="26"/>
        <v>682950.09321373212</v>
      </c>
      <c r="R63" s="73">
        <f t="shared" si="26"/>
        <v>682950.09321373212</v>
      </c>
      <c r="S63" s="73">
        <f t="shared" si="26"/>
        <v>682950.09321373212</v>
      </c>
      <c r="T63" s="73">
        <f t="shared" si="26"/>
        <v>682950.09321373212</v>
      </c>
      <c r="U63" s="73">
        <f t="shared" si="26"/>
        <v>682950.09321373212</v>
      </c>
      <c r="V63" s="73">
        <f t="shared" si="26"/>
        <v>682950.09321373212</v>
      </c>
      <c r="W63" s="73">
        <f t="shared" si="26"/>
        <v>682950.09321373212</v>
      </c>
      <c r="X63" s="73">
        <f t="shared" si="26"/>
        <v>682950.09321373212</v>
      </c>
      <c r="Y63" s="73">
        <f t="shared" si="26"/>
        <v>682950.09321373212</v>
      </c>
      <c r="Z63" s="73">
        <f t="shared" si="26"/>
        <v>682950.09321373212</v>
      </c>
      <c r="AA63" s="73">
        <f t="shared" si="26"/>
        <v>682950.09321373212</v>
      </c>
      <c r="AB63" s="73">
        <f t="shared" si="26"/>
        <v>682950.09321373212</v>
      </c>
      <c r="AC63" s="73">
        <f t="shared" si="26"/>
        <v>682950.09321373212</v>
      </c>
      <c r="AD63" s="73">
        <f t="shared" si="26"/>
        <v>682950.09321373212</v>
      </c>
      <c r="AE63" s="73">
        <f t="shared" si="26"/>
        <v>682950.09321373212</v>
      </c>
      <c r="AF63" s="73">
        <f t="shared" si="26"/>
        <v>682950.09321373212</v>
      </c>
      <c r="AG63" s="73">
        <f t="shared" si="26"/>
        <v>682950.09321373212</v>
      </c>
      <c r="AH63" s="73">
        <f t="shared" si="26"/>
        <v>682950.09321373212</v>
      </c>
      <c r="AI63" s="73">
        <f t="shared" si="26"/>
        <v>682950.09321373212</v>
      </c>
      <c r="AJ63" s="73">
        <f t="shared" si="26"/>
        <v>682950.09321373212</v>
      </c>
      <c r="AK63" s="73">
        <f t="shared" si="26"/>
        <v>682950.09321373212</v>
      </c>
      <c r="AL63" s="73">
        <f t="shared" si="26"/>
        <v>682950.09321373212</v>
      </c>
      <c r="AM63" s="73">
        <f t="shared" si="26"/>
        <v>682950.09321373212</v>
      </c>
    </row>
    <row r="66" spans="2:39" x14ac:dyDescent="0.3">
      <c r="G66" t="s">
        <v>31</v>
      </c>
      <c r="H66" s="55">
        <f>SUM(I66:AM66)</f>
        <v>92.037666842290321</v>
      </c>
      <c r="I66" s="55">
        <f>I$49*$C27</f>
        <v>0.30375467604716289</v>
      </c>
      <c r="J66" s="55">
        <f t="shared" ref="J66:AM66" si="27">J$49*$C27</f>
        <v>0.60750935209432577</v>
      </c>
      <c r="K66" s="55">
        <f t="shared" si="27"/>
        <v>1.620024938918202</v>
      </c>
      <c r="L66" s="55">
        <f t="shared" si="27"/>
        <v>2.4300374083773031</v>
      </c>
      <c r="M66" s="55">
        <f t="shared" si="27"/>
        <v>2.8350436431068538</v>
      </c>
      <c r="N66" s="55">
        <f t="shared" si="27"/>
        <v>3.240049877836404</v>
      </c>
      <c r="O66" s="55">
        <f t="shared" si="27"/>
        <v>3.240049877836404</v>
      </c>
      <c r="P66" s="55">
        <f t="shared" si="27"/>
        <v>3.240049877836404</v>
      </c>
      <c r="Q66" s="55">
        <f t="shared" si="27"/>
        <v>3.240049877836404</v>
      </c>
      <c r="R66" s="55">
        <f t="shared" si="27"/>
        <v>3.240049877836404</v>
      </c>
      <c r="S66" s="55">
        <f t="shared" si="27"/>
        <v>3.240049877836404</v>
      </c>
      <c r="T66" s="55">
        <f t="shared" si="27"/>
        <v>3.240049877836404</v>
      </c>
      <c r="U66" s="55">
        <f t="shared" si="27"/>
        <v>3.240049877836404</v>
      </c>
      <c r="V66" s="55">
        <f t="shared" si="27"/>
        <v>3.240049877836404</v>
      </c>
      <c r="W66" s="55">
        <f t="shared" si="27"/>
        <v>3.240049877836404</v>
      </c>
      <c r="X66" s="55">
        <f t="shared" si="27"/>
        <v>3.240049877836404</v>
      </c>
      <c r="Y66" s="55">
        <f t="shared" si="27"/>
        <v>3.240049877836404</v>
      </c>
      <c r="Z66" s="55">
        <f t="shared" si="27"/>
        <v>3.240049877836404</v>
      </c>
      <c r="AA66" s="55">
        <f t="shared" si="27"/>
        <v>3.240049877836404</v>
      </c>
      <c r="AB66" s="55">
        <f t="shared" si="27"/>
        <v>3.240049877836404</v>
      </c>
      <c r="AC66" s="55">
        <f t="shared" si="27"/>
        <v>3.240049877836404</v>
      </c>
      <c r="AD66" s="55">
        <f t="shared" si="27"/>
        <v>3.240049877836404</v>
      </c>
      <c r="AE66" s="55">
        <f t="shared" si="27"/>
        <v>3.240049877836404</v>
      </c>
      <c r="AF66" s="55">
        <f t="shared" si="27"/>
        <v>3.240049877836404</v>
      </c>
      <c r="AG66" s="55">
        <f t="shared" si="27"/>
        <v>3.240049877836404</v>
      </c>
      <c r="AH66" s="55">
        <f t="shared" si="27"/>
        <v>3.240049877836404</v>
      </c>
      <c r="AI66" s="55">
        <f t="shared" si="27"/>
        <v>3.240049877836404</v>
      </c>
      <c r="AJ66" s="55">
        <f t="shared" si="27"/>
        <v>3.240049877836404</v>
      </c>
      <c r="AK66" s="55">
        <f t="shared" si="27"/>
        <v>3.240049877836404</v>
      </c>
      <c r="AL66" s="55">
        <f t="shared" si="27"/>
        <v>3.240049877836404</v>
      </c>
      <c r="AM66" s="55">
        <f t="shared" si="27"/>
        <v>3.240049877836404</v>
      </c>
    </row>
    <row r="67" spans="2:39" x14ac:dyDescent="0.3">
      <c r="B67" s="55"/>
      <c r="G67" t="s">
        <v>32</v>
      </c>
      <c r="H67" s="55">
        <f t="shared" ref="H67:H69" si="28">SUM(I67:AM67)</f>
        <v>0</v>
      </c>
      <c r="I67" s="55">
        <f>I$49*$C28</f>
        <v>0</v>
      </c>
      <c r="J67" s="55">
        <f t="shared" ref="J67:AM69" si="29">J$49*$C28</f>
        <v>0</v>
      </c>
      <c r="K67" s="55">
        <f t="shared" si="29"/>
        <v>0</v>
      </c>
      <c r="L67" s="55">
        <f t="shared" si="29"/>
        <v>0</v>
      </c>
      <c r="M67" s="55">
        <f t="shared" si="29"/>
        <v>0</v>
      </c>
      <c r="N67" s="55">
        <f t="shared" si="29"/>
        <v>0</v>
      </c>
      <c r="O67" s="55">
        <f t="shared" si="29"/>
        <v>0</v>
      </c>
      <c r="P67" s="55">
        <f t="shared" si="29"/>
        <v>0</v>
      </c>
      <c r="Q67" s="55">
        <f t="shared" si="29"/>
        <v>0</v>
      </c>
      <c r="R67" s="55">
        <f t="shared" si="29"/>
        <v>0</v>
      </c>
      <c r="S67" s="55">
        <f t="shared" si="29"/>
        <v>0</v>
      </c>
      <c r="T67" s="55">
        <f t="shared" si="29"/>
        <v>0</v>
      </c>
      <c r="U67" s="55">
        <f t="shared" si="29"/>
        <v>0</v>
      </c>
      <c r="V67" s="55">
        <f t="shared" si="29"/>
        <v>0</v>
      </c>
      <c r="W67" s="55">
        <f t="shared" si="29"/>
        <v>0</v>
      </c>
      <c r="X67" s="55">
        <f t="shared" si="29"/>
        <v>0</v>
      </c>
      <c r="Y67" s="55">
        <f t="shared" si="29"/>
        <v>0</v>
      </c>
      <c r="Z67" s="55">
        <f t="shared" si="29"/>
        <v>0</v>
      </c>
      <c r="AA67" s="55">
        <f t="shared" si="29"/>
        <v>0</v>
      </c>
      <c r="AB67" s="55">
        <f t="shared" si="29"/>
        <v>0</v>
      </c>
      <c r="AC67" s="55">
        <f t="shared" si="29"/>
        <v>0</v>
      </c>
      <c r="AD67" s="55">
        <f t="shared" si="29"/>
        <v>0</v>
      </c>
      <c r="AE67" s="55">
        <f t="shared" si="29"/>
        <v>0</v>
      </c>
      <c r="AF67" s="55">
        <f t="shared" si="29"/>
        <v>0</v>
      </c>
      <c r="AG67" s="55">
        <f t="shared" si="29"/>
        <v>0</v>
      </c>
      <c r="AH67" s="55">
        <f t="shared" si="29"/>
        <v>0</v>
      </c>
      <c r="AI67" s="55">
        <f t="shared" si="29"/>
        <v>0</v>
      </c>
      <c r="AJ67" s="55">
        <f t="shared" si="29"/>
        <v>0</v>
      </c>
      <c r="AK67" s="55">
        <f t="shared" si="29"/>
        <v>0</v>
      </c>
      <c r="AL67" s="55">
        <f t="shared" si="29"/>
        <v>0</v>
      </c>
      <c r="AM67" s="55">
        <f t="shared" si="29"/>
        <v>0</v>
      </c>
    </row>
    <row r="68" spans="2:39" x14ac:dyDescent="0.3">
      <c r="B68" s="10"/>
      <c r="G68" t="s">
        <v>33</v>
      </c>
      <c r="H68" s="55">
        <f t="shared" si="28"/>
        <v>54202.940822573328</v>
      </c>
      <c r="I68" s="55">
        <f t="shared" ref="I68:X69" si="30">I$49*$C29</f>
        <v>178.88759347383936</v>
      </c>
      <c r="J68" s="55">
        <f t="shared" si="30"/>
        <v>357.77518694767872</v>
      </c>
      <c r="K68" s="55">
        <f t="shared" si="30"/>
        <v>954.06716519380984</v>
      </c>
      <c r="L68" s="55">
        <f t="shared" si="30"/>
        <v>1431.1007477907149</v>
      </c>
      <c r="M68" s="55">
        <f t="shared" si="30"/>
        <v>1669.6175390891674</v>
      </c>
      <c r="N68" s="55">
        <f t="shared" si="30"/>
        <v>1908.1343303876197</v>
      </c>
      <c r="O68" s="55">
        <f t="shared" si="30"/>
        <v>1908.1343303876197</v>
      </c>
      <c r="P68" s="55">
        <f t="shared" si="30"/>
        <v>1908.1343303876197</v>
      </c>
      <c r="Q68" s="55">
        <f t="shared" si="30"/>
        <v>1908.1343303876197</v>
      </c>
      <c r="R68" s="55">
        <f t="shared" si="30"/>
        <v>1908.1343303876197</v>
      </c>
      <c r="S68" s="55">
        <f t="shared" si="30"/>
        <v>1908.1343303876197</v>
      </c>
      <c r="T68" s="55">
        <f t="shared" si="30"/>
        <v>1908.1343303876197</v>
      </c>
      <c r="U68" s="55">
        <f t="shared" si="30"/>
        <v>1908.1343303876197</v>
      </c>
      <c r="V68" s="55">
        <f t="shared" si="30"/>
        <v>1908.1343303876197</v>
      </c>
      <c r="W68" s="55">
        <f t="shared" si="30"/>
        <v>1908.1343303876197</v>
      </c>
      <c r="X68" s="55">
        <f t="shared" si="30"/>
        <v>1908.1343303876197</v>
      </c>
      <c r="Y68" s="55">
        <f t="shared" si="29"/>
        <v>1908.1343303876197</v>
      </c>
      <c r="Z68" s="55">
        <f t="shared" si="29"/>
        <v>1908.1343303876197</v>
      </c>
      <c r="AA68" s="55">
        <f t="shared" si="29"/>
        <v>1908.1343303876197</v>
      </c>
      <c r="AB68" s="55">
        <f t="shared" si="29"/>
        <v>1908.1343303876197</v>
      </c>
      <c r="AC68" s="55">
        <f t="shared" si="29"/>
        <v>1908.1343303876197</v>
      </c>
      <c r="AD68" s="55">
        <f t="shared" si="29"/>
        <v>1908.1343303876197</v>
      </c>
      <c r="AE68" s="55">
        <f t="shared" si="29"/>
        <v>1908.1343303876197</v>
      </c>
      <c r="AF68" s="55">
        <f t="shared" si="29"/>
        <v>1908.1343303876197</v>
      </c>
      <c r="AG68" s="55">
        <f t="shared" si="29"/>
        <v>1908.1343303876197</v>
      </c>
      <c r="AH68" s="55">
        <f t="shared" si="29"/>
        <v>1908.1343303876197</v>
      </c>
      <c r="AI68" s="55">
        <f t="shared" si="29"/>
        <v>1908.1343303876197</v>
      </c>
      <c r="AJ68" s="55">
        <f t="shared" si="29"/>
        <v>1908.1343303876197</v>
      </c>
      <c r="AK68" s="55">
        <f t="shared" si="29"/>
        <v>1908.1343303876197</v>
      </c>
      <c r="AL68" s="55">
        <f t="shared" si="29"/>
        <v>1908.1343303876197</v>
      </c>
      <c r="AM68" s="55">
        <f t="shared" si="29"/>
        <v>1908.1343303876197</v>
      </c>
    </row>
    <row r="69" spans="2:39" x14ac:dyDescent="0.3">
      <c r="B69" s="10"/>
      <c r="G69" t="s">
        <v>34</v>
      </c>
      <c r="H69" s="55">
        <f t="shared" si="28"/>
        <v>2.6833139021075914</v>
      </c>
      <c r="I69" s="55">
        <f t="shared" si="30"/>
        <v>8.8558214591009585E-3</v>
      </c>
      <c r="J69" s="55">
        <f t="shared" si="29"/>
        <v>1.7711642918201917E-2</v>
      </c>
      <c r="K69" s="55">
        <f t="shared" si="29"/>
        <v>4.7231047781871774E-2</v>
      </c>
      <c r="L69" s="55">
        <f t="shared" si="29"/>
        <v>7.0846571672807668E-2</v>
      </c>
      <c r="M69" s="55">
        <f t="shared" si="29"/>
        <v>8.2654333618275608E-2</v>
      </c>
      <c r="N69" s="55">
        <f t="shared" si="29"/>
        <v>9.4462095563743548E-2</v>
      </c>
      <c r="O69" s="55">
        <f t="shared" si="29"/>
        <v>9.4462095563743548E-2</v>
      </c>
      <c r="P69" s="55">
        <f t="shared" si="29"/>
        <v>9.4462095563743548E-2</v>
      </c>
      <c r="Q69" s="55">
        <f t="shared" si="29"/>
        <v>9.4462095563743548E-2</v>
      </c>
      <c r="R69" s="55">
        <f t="shared" si="29"/>
        <v>9.4462095563743548E-2</v>
      </c>
      <c r="S69" s="55">
        <f t="shared" si="29"/>
        <v>9.4462095563743548E-2</v>
      </c>
      <c r="T69" s="55">
        <f t="shared" si="29"/>
        <v>9.4462095563743548E-2</v>
      </c>
      <c r="U69" s="55">
        <f t="shared" si="29"/>
        <v>9.4462095563743548E-2</v>
      </c>
      <c r="V69" s="55">
        <f t="shared" si="29"/>
        <v>9.4462095563743548E-2</v>
      </c>
      <c r="W69" s="55">
        <f t="shared" si="29"/>
        <v>9.4462095563743548E-2</v>
      </c>
      <c r="X69" s="55">
        <f t="shared" si="29"/>
        <v>9.4462095563743548E-2</v>
      </c>
      <c r="Y69" s="55">
        <f t="shared" si="29"/>
        <v>9.4462095563743548E-2</v>
      </c>
      <c r="Z69" s="55">
        <f t="shared" si="29"/>
        <v>9.4462095563743548E-2</v>
      </c>
      <c r="AA69" s="55">
        <f t="shared" si="29"/>
        <v>9.4462095563743548E-2</v>
      </c>
      <c r="AB69" s="55">
        <f t="shared" si="29"/>
        <v>9.4462095563743548E-2</v>
      </c>
      <c r="AC69" s="55">
        <f t="shared" si="29"/>
        <v>9.4462095563743548E-2</v>
      </c>
      <c r="AD69" s="55">
        <f t="shared" si="29"/>
        <v>9.4462095563743548E-2</v>
      </c>
      <c r="AE69" s="55">
        <f t="shared" si="29"/>
        <v>9.4462095563743548E-2</v>
      </c>
      <c r="AF69" s="55">
        <f t="shared" si="29"/>
        <v>9.4462095563743548E-2</v>
      </c>
      <c r="AG69" s="55">
        <f t="shared" si="29"/>
        <v>9.4462095563743548E-2</v>
      </c>
      <c r="AH69" s="55">
        <f t="shared" si="29"/>
        <v>9.4462095563743548E-2</v>
      </c>
      <c r="AI69" s="55">
        <f t="shared" si="29"/>
        <v>9.4462095563743548E-2</v>
      </c>
      <c r="AJ69" s="55">
        <f t="shared" si="29"/>
        <v>9.4462095563743548E-2</v>
      </c>
      <c r="AK69" s="55">
        <f t="shared" si="29"/>
        <v>9.4462095563743548E-2</v>
      </c>
      <c r="AL69" s="55">
        <f t="shared" si="29"/>
        <v>9.4462095563743548E-2</v>
      </c>
      <c r="AM69" s="55">
        <f t="shared" si="29"/>
        <v>9.4462095563743548E-2</v>
      </c>
    </row>
    <row r="70" spans="2:39" x14ac:dyDescent="0.3">
      <c r="B70" s="10"/>
    </row>
    <row r="71" spans="2:39" x14ac:dyDescent="0.3">
      <c r="B71" s="10"/>
    </row>
    <row r="72" spans="2:39" x14ac:dyDescent="0.3">
      <c r="B72" s="10"/>
    </row>
    <row r="73" spans="2:39" x14ac:dyDescent="0.3">
      <c r="B73" s="10"/>
    </row>
    <row r="74" spans="2:39" x14ac:dyDescent="0.3">
      <c r="B74" s="10"/>
    </row>
    <row r="75" spans="2:39" x14ac:dyDescent="0.3">
      <c r="B75" s="10"/>
    </row>
    <row r="76" spans="2:39" x14ac:dyDescent="0.3">
      <c r="B76" s="10"/>
    </row>
    <row r="77" spans="2:39" x14ac:dyDescent="0.3">
      <c r="B77" s="10"/>
    </row>
  </sheetData>
  <hyperlinks>
    <hyperlink ref="C42" r:id="rId1" xr:uid="{48FB1AF1-15FD-4DA0-95BD-BD6C4CC1D813}"/>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E614-196F-4AB5-8F7B-800AD4F23A3D}">
  <sheetPr>
    <tabColor theme="5" tint="0.79998168889431442"/>
  </sheetPr>
  <dimension ref="A1:AU30"/>
  <sheetViews>
    <sheetView workbookViewId="0">
      <selection activeCell="E32" sqref="E32"/>
    </sheetView>
  </sheetViews>
  <sheetFormatPr defaultRowHeight="14.4" x14ac:dyDescent="0.3"/>
  <cols>
    <col min="1" max="1" width="45" customWidth="1"/>
    <col min="2" max="2" width="19.5546875" bestFit="1" customWidth="1"/>
    <col min="3" max="4" width="19.5546875" customWidth="1"/>
    <col min="5" max="5" width="14.6640625" bestFit="1" customWidth="1"/>
    <col min="17" max="17" width="14.44140625" customWidth="1"/>
  </cols>
  <sheetData>
    <row r="1" spans="1:47" x14ac:dyDescent="0.3">
      <c r="A1" t="s">
        <v>136</v>
      </c>
    </row>
    <row r="3" spans="1:47" x14ac:dyDescent="0.3">
      <c r="A3" t="s">
        <v>115</v>
      </c>
    </row>
    <row r="5" spans="1:47" x14ac:dyDescent="0.3">
      <c r="A5" t="s">
        <v>137</v>
      </c>
    </row>
    <row r="6" spans="1:47" x14ac:dyDescent="0.3">
      <c r="A6" s="22">
        <f>'BCA Values'!$B$5</f>
        <v>15600</v>
      </c>
      <c r="B6" t="s">
        <v>31</v>
      </c>
    </row>
    <row r="7" spans="1:47" x14ac:dyDescent="0.3">
      <c r="A7" s="22">
        <f>'BCA Values'!E5</f>
        <v>52</v>
      </c>
      <c r="B7" t="s">
        <v>33</v>
      </c>
    </row>
    <row r="8" spans="1:47" x14ac:dyDescent="0.3">
      <c r="A8" s="22">
        <f>'BCA Values'!D5</f>
        <v>748600</v>
      </c>
      <c r="B8" t="s">
        <v>34</v>
      </c>
    </row>
    <row r="9" spans="1:47" x14ac:dyDescent="0.3">
      <c r="A9" s="26"/>
      <c r="B9" s="14"/>
      <c r="C9" s="14"/>
      <c r="D9" s="14"/>
    </row>
    <row r="11" spans="1:47" x14ac:dyDescent="0.3">
      <c r="A11" s="14" t="s">
        <v>138</v>
      </c>
    </row>
    <row r="12" spans="1:47" x14ac:dyDescent="0.3">
      <c r="A12" s="9" t="s">
        <v>117</v>
      </c>
      <c r="B12" s="9"/>
      <c r="C12" s="9"/>
      <c r="D12" s="9">
        <v>2025</v>
      </c>
      <c r="E12" s="9">
        <v>2026</v>
      </c>
      <c r="F12" s="9">
        <v>2027</v>
      </c>
      <c r="G12" s="9">
        <v>2028</v>
      </c>
      <c r="H12" s="9">
        <v>2029</v>
      </c>
      <c r="I12" s="9">
        <v>2030</v>
      </c>
      <c r="J12" s="9">
        <v>2031</v>
      </c>
      <c r="K12" s="9">
        <v>2032</v>
      </c>
      <c r="L12" s="9">
        <v>2033</v>
      </c>
      <c r="M12" s="9">
        <v>2034</v>
      </c>
      <c r="N12" s="9">
        <v>2035</v>
      </c>
      <c r="O12" s="9">
        <v>2036</v>
      </c>
      <c r="P12" s="9">
        <v>2037</v>
      </c>
      <c r="Q12" s="9">
        <v>2038</v>
      </c>
      <c r="R12" s="9">
        <v>2039</v>
      </c>
      <c r="S12" s="9">
        <v>2040</v>
      </c>
      <c r="T12" s="9">
        <v>2041</v>
      </c>
      <c r="U12" s="9">
        <v>2042</v>
      </c>
      <c r="V12" s="9">
        <v>2043</v>
      </c>
      <c r="W12" s="9">
        <v>2044</v>
      </c>
      <c r="X12" s="9">
        <v>2045</v>
      </c>
      <c r="Y12" s="9">
        <v>2046</v>
      </c>
      <c r="Z12" s="9">
        <v>2047</v>
      </c>
      <c r="AA12" s="9">
        <v>2048</v>
      </c>
      <c r="AB12" s="9">
        <v>2049</v>
      </c>
      <c r="AC12" s="9">
        <v>2050</v>
      </c>
      <c r="AD12" s="9">
        <v>2051</v>
      </c>
      <c r="AE12" s="9">
        <v>2052</v>
      </c>
      <c r="AF12" s="9">
        <v>2053</v>
      </c>
      <c r="AG12" s="9">
        <v>2054</v>
      </c>
      <c r="AH12" s="9">
        <v>2055</v>
      </c>
      <c r="AI12" s="9">
        <v>2056</v>
      </c>
      <c r="AJ12" s="9">
        <v>2057</v>
      </c>
      <c r="AK12" s="9">
        <v>2058</v>
      </c>
      <c r="AL12" s="9">
        <v>2059</v>
      </c>
      <c r="AM12" s="9">
        <v>2060</v>
      </c>
      <c r="AN12" s="9">
        <v>2061</v>
      </c>
      <c r="AO12" s="9">
        <v>2062</v>
      </c>
      <c r="AP12" s="14"/>
      <c r="AQ12" s="14"/>
      <c r="AR12" s="14"/>
      <c r="AS12" s="14"/>
      <c r="AT12" s="14"/>
      <c r="AU12" s="14"/>
    </row>
    <row r="13" spans="1:47" x14ac:dyDescent="0.3">
      <c r="A13" t="s">
        <v>139</v>
      </c>
      <c r="B13" t="s">
        <v>31</v>
      </c>
      <c r="C13">
        <f>SUM(D13:AO13)</f>
        <v>1717.8356764580367</v>
      </c>
      <c r="D13">
        <f>E13/2</f>
        <v>23.184780326107155</v>
      </c>
      <c r="E13">
        <v>46.369560652214311</v>
      </c>
      <c r="F13">
        <v>46.270463052214311</v>
      </c>
      <c r="G13">
        <v>46.157208652214308</v>
      </c>
      <c r="H13">
        <v>46.029797452214311</v>
      </c>
      <c r="I13">
        <v>45.902386252214313</v>
      </c>
      <c r="J13">
        <v>45.774975052214309</v>
      </c>
      <c r="K13">
        <v>45.746661452214312</v>
      </c>
      <c r="L13">
        <v>45.746661452214312</v>
      </c>
      <c r="M13">
        <v>45.746661452214312</v>
      </c>
      <c r="N13">
        <v>45.746661452214312</v>
      </c>
      <c r="O13">
        <v>45.746661452214312</v>
      </c>
      <c r="P13">
        <v>45.746661452214312</v>
      </c>
      <c r="Q13">
        <v>45.746661452214312</v>
      </c>
      <c r="R13">
        <v>45.746661452214312</v>
      </c>
      <c r="S13">
        <v>45.746661452214312</v>
      </c>
      <c r="T13">
        <v>45.746661452214312</v>
      </c>
      <c r="U13">
        <v>45.746661452214312</v>
      </c>
      <c r="V13">
        <v>45.746661452214312</v>
      </c>
      <c r="W13">
        <v>45.746661452214312</v>
      </c>
      <c r="X13">
        <v>45.746661452214312</v>
      </c>
      <c r="Y13">
        <v>45.746661452214312</v>
      </c>
      <c r="Z13">
        <v>45.746661452214312</v>
      </c>
      <c r="AA13">
        <v>45.746661452214312</v>
      </c>
      <c r="AB13">
        <v>45.746661452214312</v>
      </c>
      <c r="AC13">
        <v>45.746661452214312</v>
      </c>
      <c r="AD13">
        <v>45.746661452214312</v>
      </c>
      <c r="AE13">
        <v>45.746661452214312</v>
      </c>
      <c r="AF13">
        <v>45.746661452214312</v>
      </c>
      <c r="AG13">
        <v>45.746661452214312</v>
      </c>
      <c r="AH13">
        <v>45.746661452214312</v>
      </c>
      <c r="AI13">
        <v>45.746661452214312</v>
      </c>
      <c r="AJ13">
        <v>45.746661452214312</v>
      </c>
      <c r="AK13">
        <v>45.746661452214312</v>
      </c>
      <c r="AL13">
        <v>45.746661452214312</v>
      </c>
      <c r="AM13">
        <v>45.746661452214312</v>
      </c>
      <c r="AN13">
        <v>45.746661452214312</v>
      </c>
      <c r="AO13">
        <v>45.746661452214312</v>
      </c>
    </row>
    <row r="14" spans="1:47" x14ac:dyDescent="0.3">
      <c r="A14" t="s">
        <v>139</v>
      </c>
      <c r="B14" t="s">
        <v>33</v>
      </c>
      <c r="C14">
        <f>SUM(D14:AO14)</f>
        <v>6419.0278065673547</v>
      </c>
      <c r="D14">
        <f t="shared" ref="D14:D15" si="0">E14/2</f>
        <v>87.522721694498003</v>
      </c>
      <c r="E14">
        <v>175.04544338899601</v>
      </c>
      <c r="F14">
        <v>174.36111056499598</v>
      </c>
      <c r="G14">
        <v>173.57901590899598</v>
      </c>
      <c r="H14">
        <v>172.69915942099601</v>
      </c>
      <c r="I14">
        <v>171.81930293299601</v>
      </c>
      <c r="J14">
        <v>170.93944644499598</v>
      </c>
      <c r="K14">
        <v>170.74392278099603</v>
      </c>
      <c r="L14">
        <v>170.74392278099603</v>
      </c>
      <c r="M14">
        <v>170.74392278099603</v>
      </c>
      <c r="N14">
        <v>170.74392278099603</v>
      </c>
      <c r="O14">
        <v>170.74392278099603</v>
      </c>
      <c r="P14">
        <v>170.74392278099603</v>
      </c>
      <c r="Q14">
        <v>170.74392278099603</v>
      </c>
      <c r="R14">
        <v>170.74392278099603</v>
      </c>
      <c r="S14">
        <v>170.74392278099603</v>
      </c>
      <c r="T14">
        <v>170.74392278099603</v>
      </c>
      <c r="U14">
        <v>170.74392278099603</v>
      </c>
      <c r="V14">
        <v>170.74392278099603</v>
      </c>
      <c r="W14">
        <v>170.74392278099603</v>
      </c>
      <c r="X14">
        <v>170.74392278099603</v>
      </c>
      <c r="Y14">
        <v>170.74392278099603</v>
      </c>
      <c r="Z14">
        <v>170.74392278099603</v>
      </c>
      <c r="AA14">
        <v>170.74392278099603</v>
      </c>
      <c r="AB14">
        <v>170.74392278099603</v>
      </c>
      <c r="AC14">
        <v>170.74392278099603</v>
      </c>
      <c r="AD14">
        <v>170.74392278099603</v>
      </c>
      <c r="AE14">
        <v>170.74392278099603</v>
      </c>
      <c r="AF14">
        <v>170.74392278099603</v>
      </c>
      <c r="AG14">
        <v>170.74392278099603</v>
      </c>
      <c r="AH14">
        <v>170.74392278099603</v>
      </c>
      <c r="AI14">
        <v>170.74392278099603</v>
      </c>
      <c r="AJ14">
        <v>170.74392278099603</v>
      </c>
      <c r="AK14">
        <v>170.74392278099603</v>
      </c>
      <c r="AL14">
        <v>170.74392278099603</v>
      </c>
      <c r="AM14">
        <v>170.74392278099603</v>
      </c>
      <c r="AN14">
        <v>170.74392278099603</v>
      </c>
      <c r="AO14">
        <v>170.74392278099603</v>
      </c>
    </row>
    <row r="15" spans="1:47" x14ac:dyDescent="0.3">
      <c r="A15" t="s">
        <v>139</v>
      </c>
      <c r="B15" t="s">
        <v>34</v>
      </c>
      <c r="C15">
        <f>SUM(D15:AO15)</f>
        <v>28.045054675107853</v>
      </c>
      <c r="D15">
        <f t="shared" si="0"/>
        <v>0.38077057139746517</v>
      </c>
      <c r="E15">
        <v>0.76154114279493035</v>
      </c>
      <c r="F15">
        <v>0.7591241951465032</v>
      </c>
      <c r="G15">
        <v>0.75636196926258636</v>
      </c>
      <c r="H15">
        <v>0.75325446514317995</v>
      </c>
      <c r="I15">
        <v>0.75014696102377354</v>
      </c>
      <c r="J15">
        <v>0.74703945690436713</v>
      </c>
      <c r="K15">
        <v>0.74634890043338808</v>
      </c>
      <c r="L15">
        <v>0.74634890043338808</v>
      </c>
      <c r="M15">
        <v>0.74634890043338808</v>
      </c>
      <c r="N15">
        <v>0.74634890043338808</v>
      </c>
      <c r="O15">
        <v>0.74634890043338808</v>
      </c>
      <c r="P15">
        <v>0.74634890043338808</v>
      </c>
      <c r="Q15">
        <v>0.74634890043338808</v>
      </c>
      <c r="R15">
        <v>0.74634890043338808</v>
      </c>
      <c r="S15">
        <v>0.74634890043338808</v>
      </c>
      <c r="T15">
        <v>0.74634890043338808</v>
      </c>
      <c r="U15">
        <v>0.74634890043338808</v>
      </c>
      <c r="V15">
        <v>0.74634890043338808</v>
      </c>
      <c r="W15">
        <v>0.74634890043338808</v>
      </c>
      <c r="X15">
        <v>0.74634890043338808</v>
      </c>
      <c r="Y15">
        <v>0.74634890043338808</v>
      </c>
      <c r="Z15">
        <v>0.74634890043338808</v>
      </c>
      <c r="AA15">
        <v>0.74634890043338808</v>
      </c>
      <c r="AB15">
        <v>0.74634890043338808</v>
      </c>
      <c r="AC15">
        <v>0.74634890043338808</v>
      </c>
      <c r="AD15">
        <v>0.74634890043338808</v>
      </c>
      <c r="AE15">
        <v>0.74634890043338808</v>
      </c>
      <c r="AF15">
        <v>0.74634890043338808</v>
      </c>
      <c r="AG15">
        <v>0.74634890043338808</v>
      </c>
      <c r="AH15">
        <v>0.74634890043338808</v>
      </c>
      <c r="AI15">
        <v>0.74634890043338808</v>
      </c>
      <c r="AJ15">
        <v>0.74634890043338808</v>
      </c>
      <c r="AK15">
        <v>0.74634890043338808</v>
      </c>
      <c r="AL15">
        <v>0.74634890043338808</v>
      </c>
      <c r="AM15">
        <v>0.74634890043338808</v>
      </c>
      <c r="AN15">
        <v>0.74634890043338808</v>
      </c>
      <c r="AO15">
        <v>0.74634890043338808</v>
      </c>
    </row>
    <row r="16" spans="1:47" x14ac:dyDescent="0.3">
      <c r="A16" t="s">
        <v>81</v>
      </c>
      <c r="B16" t="s">
        <v>98</v>
      </c>
      <c r="D16" s="10">
        <f>'BCA Values'!B9</f>
        <v>16500</v>
      </c>
      <c r="E16" s="10">
        <v>16800</v>
      </c>
      <c r="F16" s="10">
        <v>17100</v>
      </c>
      <c r="G16" s="10">
        <v>17400</v>
      </c>
      <c r="H16" s="10">
        <v>17700</v>
      </c>
      <c r="I16" s="10">
        <v>18100</v>
      </c>
      <c r="J16" s="10">
        <v>18100</v>
      </c>
      <c r="K16" s="10">
        <v>18100</v>
      </c>
      <c r="L16" s="10">
        <v>18100</v>
      </c>
      <c r="M16" s="10">
        <v>18100</v>
      </c>
      <c r="N16" s="10">
        <v>18100</v>
      </c>
      <c r="O16" s="10">
        <v>18100</v>
      </c>
      <c r="P16" s="10">
        <v>18100</v>
      </c>
      <c r="Q16" s="10">
        <v>18100</v>
      </c>
      <c r="R16" s="10">
        <v>18100</v>
      </c>
      <c r="S16" s="10">
        <v>18100</v>
      </c>
      <c r="T16" s="10">
        <v>18100</v>
      </c>
      <c r="U16" s="10">
        <v>18100</v>
      </c>
      <c r="V16" s="10">
        <v>18100</v>
      </c>
      <c r="W16" s="10">
        <v>18100</v>
      </c>
      <c r="X16" s="10">
        <v>18100</v>
      </c>
      <c r="Y16" s="10">
        <v>18100</v>
      </c>
      <c r="Z16" s="10">
        <v>18100</v>
      </c>
      <c r="AA16" s="10">
        <v>18100</v>
      </c>
      <c r="AB16" s="10">
        <v>18100</v>
      </c>
      <c r="AC16" s="10">
        <v>18100</v>
      </c>
      <c r="AD16" s="10">
        <v>18100</v>
      </c>
      <c r="AE16" s="10">
        <v>18100</v>
      </c>
      <c r="AF16" s="10">
        <v>18100</v>
      </c>
      <c r="AG16" s="10">
        <v>18100</v>
      </c>
      <c r="AH16" s="10">
        <v>18100</v>
      </c>
      <c r="AI16" s="10">
        <v>18100</v>
      </c>
      <c r="AJ16" s="10">
        <v>18100</v>
      </c>
      <c r="AK16" s="10">
        <v>18100</v>
      </c>
      <c r="AL16" s="10">
        <v>18100</v>
      </c>
      <c r="AM16" s="10">
        <v>18100</v>
      </c>
      <c r="AN16" s="10">
        <v>18100</v>
      </c>
      <c r="AO16" s="10">
        <v>18100</v>
      </c>
    </row>
    <row r="17" spans="1:41" x14ac:dyDescent="0.3">
      <c r="A17" t="s">
        <v>81</v>
      </c>
      <c r="B17" t="s">
        <v>100</v>
      </c>
      <c r="D17" s="10">
        <f>'BCA Values'!E9</f>
        <v>56</v>
      </c>
      <c r="E17" s="10">
        <v>57</v>
      </c>
      <c r="F17" s="10">
        <v>58</v>
      </c>
      <c r="G17" s="10">
        <v>60</v>
      </c>
      <c r="H17" s="10">
        <v>61</v>
      </c>
      <c r="I17" s="10">
        <v>62</v>
      </c>
      <c r="J17" s="10">
        <v>63</v>
      </c>
      <c r="K17" s="10">
        <v>64</v>
      </c>
      <c r="L17" s="10">
        <v>65</v>
      </c>
      <c r="M17" s="10">
        <v>66</v>
      </c>
      <c r="N17" s="10">
        <v>67</v>
      </c>
      <c r="O17" s="10">
        <v>69</v>
      </c>
      <c r="P17" s="10">
        <v>70</v>
      </c>
      <c r="Q17" s="10">
        <v>71</v>
      </c>
      <c r="R17" s="10">
        <v>72</v>
      </c>
      <c r="S17" s="10">
        <v>73</v>
      </c>
      <c r="T17" s="10">
        <v>74</v>
      </c>
      <c r="U17" s="10">
        <v>75</v>
      </c>
      <c r="V17" s="10">
        <v>77</v>
      </c>
      <c r="W17" s="10">
        <v>78</v>
      </c>
      <c r="X17" s="10">
        <v>79</v>
      </c>
      <c r="Y17" s="10">
        <v>80</v>
      </c>
      <c r="Z17" s="10">
        <v>81</v>
      </c>
      <c r="AA17" s="10">
        <v>82</v>
      </c>
      <c r="AB17" s="10">
        <v>83</v>
      </c>
      <c r="AC17" s="10">
        <v>85</v>
      </c>
      <c r="AD17" s="10">
        <v>85</v>
      </c>
      <c r="AE17" s="10">
        <v>85</v>
      </c>
      <c r="AF17" s="10">
        <v>85</v>
      </c>
      <c r="AG17" s="10">
        <v>85</v>
      </c>
      <c r="AH17" s="10">
        <v>85</v>
      </c>
      <c r="AI17" s="10">
        <v>85</v>
      </c>
      <c r="AJ17" s="10">
        <v>85</v>
      </c>
      <c r="AK17" s="10">
        <v>85</v>
      </c>
      <c r="AL17" s="10">
        <v>85</v>
      </c>
      <c r="AM17" s="10">
        <v>85</v>
      </c>
      <c r="AN17" s="10">
        <v>85</v>
      </c>
      <c r="AO17" s="10">
        <v>85</v>
      </c>
    </row>
    <row r="18" spans="1:41" x14ac:dyDescent="0.3">
      <c r="A18" t="s">
        <v>81</v>
      </c>
      <c r="B18" t="s">
        <v>101</v>
      </c>
      <c r="D18" s="10">
        <f>'BCA Values'!D9</f>
        <v>801700</v>
      </c>
      <c r="E18" s="10">
        <v>814500</v>
      </c>
      <c r="F18" s="10">
        <v>827400</v>
      </c>
      <c r="G18" s="10">
        <v>840600</v>
      </c>
      <c r="H18" s="10">
        <v>854000</v>
      </c>
      <c r="I18" s="10">
        <v>867600</v>
      </c>
      <c r="J18" s="10">
        <v>867600</v>
      </c>
      <c r="K18" s="10">
        <v>867600</v>
      </c>
      <c r="L18" s="10">
        <v>867600</v>
      </c>
      <c r="M18" s="10">
        <v>867600</v>
      </c>
      <c r="N18" s="10">
        <v>867600</v>
      </c>
      <c r="O18" s="10">
        <v>867600</v>
      </c>
      <c r="P18" s="10">
        <v>867600</v>
      </c>
      <c r="Q18" s="10">
        <v>867600</v>
      </c>
      <c r="R18" s="10">
        <v>867600</v>
      </c>
      <c r="S18" s="10">
        <v>867600</v>
      </c>
      <c r="T18" s="10">
        <v>867600</v>
      </c>
      <c r="U18" s="10">
        <v>867600</v>
      </c>
      <c r="V18" s="10">
        <v>867600</v>
      </c>
      <c r="W18" s="10">
        <v>867600</v>
      </c>
      <c r="X18" s="10">
        <v>867600</v>
      </c>
      <c r="Y18" s="10">
        <v>867600</v>
      </c>
      <c r="Z18" s="10">
        <v>867600</v>
      </c>
      <c r="AA18" s="10">
        <v>867600</v>
      </c>
      <c r="AB18" s="10">
        <v>867600</v>
      </c>
      <c r="AC18" s="10">
        <v>867600</v>
      </c>
      <c r="AD18" s="10">
        <v>867600</v>
      </c>
      <c r="AE18" s="10">
        <v>867600</v>
      </c>
      <c r="AF18" s="10">
        <v>867600</v>
      </c>
      <c r="AG18" s="10">
        <v>867600</v>
      </c>
      <c r="AH18" s="10">
        <v>867600</v>
      </c>
      <c r="AI18" s="10">
        <v>867600</v>
      </c>
      <c r="AJ18" s="10">
        <v>867600</v>
      </c>
      <c r="AK18" s="10">
        <v>867600</v>
      </c>
      <c r="AL18" s="10">
        <v>867600</v>
      </c>
      <c r="AM18" s="10">
        <v>867600</v>
      </c>
      <c r="AN18" s="10">
        <v>867600</v>
      </c>
      <c r="AO18" s="10">
        <v>867600</v>
      </c>
    </row>
    <row r="19" spans="1:41" x14ac:dyDescent="0.3">
      <c r="A19" t="s">
        <v>140</v>
      </c>
      <c r="B19" t="s">
        <v>141</v>
      </c>
      <c r="D19" s="25">
        <f>D13*D16</f>
        <v>382548.87538076809</v>
      </c>
      <c r="E19" s="25">
        <f>E13*E16</f>
        <v>779008.61895720044</v>
      </c>
      <c r="F19" s="25">
        <f t="shared" ref="F19:AK21" si="1">F13*F16</f>
        <v>791224.91819286474</v>
      </c>
      <c r="G19" s="25">
        <f t="shared" si="1"/>
        <v>803135.43054852891</v>
      </c>
      <c r="H19" s="25">
        <f t="shared" si="1"/>
        <v>814727.41490419325</v>
      </c>
      <c r="I19" s="25">
        <f t="shared" si="1"/>
        <v>830833.19116507901</v>
      </c>
      <c r="J19" s="25">
        <f t="shared" si="1"/>
        <v>828527.04844507901</v>
      </c>
      <c r="K19" s="25">
        <f t="shared" si="1"/>
        <v>828014.57228507905</v>
      </c>
      <c r="L19" s="25">
        <f t="shared" si="1"/>
        <v>828014.57228507905</v>
      </c>
      <c r="M19" s="25">
        <f t="shared" si="1"/>
        <v>828014.57228507905</v>
      </c>
      <c r="N19" s="25">
        <f t="shared" si="1"/>
        <v>828014.57228507905</v>
      </c>
      <c r="O19" s="25">
        <f t="shared" si="1"/>
        <v>828014.57228507905</v>
      </c>
      <c r="P19" s="25">
        <f t="shared" si="1"/>
        <v>828014.57228507905</v>
      </c>
      <c r="Q19" s="25">
        <f t="shared" si="1"/>
        <v>828014.57228507905</v>
      </c>
      <c r="R19" s="25">
        <f t="shared" si="1"/>
        <v>828014.57228507905</v>
      </c>
      <c r="S19" s="25">
        <f t="shared" si="1"/>
        <v>828014.57228507905</v>
      </c>
      <c r="T19" s="25">
        <f t="shared" si="1"/>
        <v>828014.57228507905</v>
      </c>
      <c r="U19" s="25">
        <f t="shared" si="1"/>
        <v>828014.57228507905</v>
      </c>
      <c r="V19" s="25">
        <f t="shared" si="1"/>
        <v>828014.57228507905</v>
      </c>
      <c r="W19" s="25">
        <f t="shared" si="1"/>
        <v>828014.57228507905</v>
      </c>
      <c r="X19" s="25">
        <f t="shared" si="1"/>
        <v>828014.57228507905</v>
      </c>
      <c r="Y19" s="25">
        <f t="shared" si="1"/>
        <v>828014.57228507905</v>
      </c>
      <c r="Z19" s="25">
        <f t="shared" si="1"/>
        <v>828014.57228507905</v>
      </c>
      <c r="AA19" s="25">
        <f t="shared" si="1"/>
        <v>828014.57228507905</v>
      </c>
      <c r="AB19" s="25">
        <f t="shared" si="1"/>
        <v>828014.57228507905</v>
      </c>
      <c r="AC19" s="25">
        <f t="shared" si="1"/>
        <v>828014.57228507905</v>
      </c>
      <c r="AD19" s="25">
        <f t="shared" si="1"/>
        <v>828014.57228507905</v>
      </c>
      <c r="AE19" s="25">
        <f t="shared" si="1"/>
        <v>828014.57228507905</v>
      </c>
      <c r="AF19" s="25">
        <f t="shared" si="1"/>
        <v>828014.57228507905</v>
      </c>
      <c r="AG19" s="25">
        <f t="shared" si="1"/>
        <v>828014.57228507905</v>
      </c>
      <c r="AH19" s="25">
        <f t="shared" si="1"/>
        <v>828014.57228507905</v>
      </c>
      <c r="AI19" s="25">
        <f t="shared" si="1"/>
        <v>828014.57228507905</v>
      </c>
      <c r="AJ19" s="25">
        <f t="shared" si="1"/>
        <v>828014.57228507905</v>
      </c>
      <c r="AK19" s="25">
        <f t="shared" si="1"/>
        <v>828014.57228507905</v>
      </c>
      <c r="AL19" s="25">
        <f t="shared" ref="AL19:AO19" si="2">AL13*AL16</f>
        <v>828014.57228507905</v>
      </c>
      <c r="AM19" s="25">
        <f t="shared" si="2"/>
        <v>828014.57228507905</v>
      </c>
      <c r="AN19" s="25">
        <f t="shared" si="2"/>
        <v>828014.57228507905</v>
      </c>
      <c r="AO19" s="25">
        <f t="shared" si="2"/>
        <v>828014.57228507905</v>
      </c>
    </row>
    <row r="20" spans="1:41" x14ac:dyDescent="0.3">
      <c r="A20" t="s">
        <v>140</v>
      </c>
      <c r="B20" t="s">
        <v>142</v>
      </c>
      <c r="D20" s="25">
        <f t="shared" ref="D20" si="3">D14*D17</f>
        <v>4901.2724148918878</v>
      </c>
      <c r="E20" s="25">
        <f t="shared" ref="E20:T20" si="4">E14*E17</f>
        <v>9977.5902731727729</v>
      </c>
      <c r="F20" s="25">
        <f t="shared" si="4"/>
        <v>10112.944412769766</v>
      </c>
      <c r="G20" s="25">
        <f t="shared" si="4"/>
        <v>10414.740954539759</v>
      </c>
      <c r="H20" s="25">
        <f t="shared" si="4"/>
        <v>10534.648724680757</v>
      </c>
      <c r="I20" s="25">
        <f t="shared" si="4"/>
        <v>10652.796781845753</v>
      </c>
      <c r="J20" s="25">
        <f t="shared" si="4"/>
        <v>10769.185126034747</v>
      </c>
      <c r="K20" s="25">
        <f t="shared" si="4"/>
        <v>10927.611057983746</v>
      </c>
      <c r="L20" s="25">
        <f t="shared" si="4"/>
        <v>11098.354980764741</v>
      </c>
      <c r="M20" s="25">
        <f t="shared" si="4"/>
        <v>11269.098903545739</v>
      </c>
      <c r="N20" s="25">
        <f t="shared" si="4"/>
        <v>11439.842826326734</v>
      </c>
      <c r="O20" s="25">
        <f t="shared" si="4"/>
        <v>11781.330671888725</v>
      </c>
      <c r="P20" s="25">
        <f t="shared" si="4"/>
        <v>11952.074594669723</v>
      </c>
      <c r="Q20" s="25">
        <f t="shared" si="4"/>
        <v>12122.818517450718</v>
      </c>
      <c r="R20" s="25">
        <f t="shared" si="4"/>
        <v>12293.562440231713</v>
      </c>
      <c r="S20" s="25">
        <f t="shared" si="4"/>
        <v>12464.306363012711</v>
      </c>
      <c r="T20" s="25">
        <f t="shared" si="4"/>
        <v>12635.050285793706</v>
      </c>
      <c r="U20" s="25">
        <f t="shared" si="1"/>
        <v>12805.794208574702</v>
      </c>
      <c r="V20" s="25">
        <f t="shared" si="1"/>
        <v>13147.282054136695</v>
      </c>
      <c r="W20" s="25">
        <f t="shared" si="1"/>
        <v>13318.02597691769</v>
      </c>
      <c r="X20" s="25">
        <f t="shared" si="1"/>
        <v>13488.769899698686</v>
      </c>
      <c r="Y20" s="25">
        <f t="shared" si="1"/>
        <v>13659.513822479683</v>
      </c>
      <c r="Z20" s="25">
        <f t="shared" si="1"/>
        <v>13830.257745260678</v>
      </c>
      <c r="AA20" s="25">
        <f t="shared" si="1"/>
        <v>14001.001668041674</v>
      </c>
      <c r="AB20" s="25">
        <f t="shared" si="1"/>
        <v>14171.745590822671</v>
      </c>
      <c r="AC20" s="25">
        <f t="shared" si="1"/>
        <v>14513.233436384662</v>
      </c>
      <c r="AD20" s="25">
        <f t="shared" si="1"/>
        <v>14513.233436384662</v>
      </c>
      <c r="AE20" s="25">
        <f t="shared" si="1"/>
        <v>14513.233436384662</v>
      </c>
      <c r="AF20" s="25">
        <f t="shared" si="1"/>
        <v>14513.233436384662</v>
      </c>
      <c r="AG20" s="25">
        <f t="shared" si="1"/>
        <v>14513.233436384662</v>
      </c>
      <c r="AH20" s="25">
        <f t="shared" si="1"/>
        <v>14513.233436384662</v>
      </c>
      <c r="AI20" s="25">
        <f t="shared" si="1"/>
        <v>14513.233436384662</v>
      </c>
      <c r="AJ20" s="25">
        <f t="shared" si="1"/>
        <v>14513.233436384662</v>
      </c>
      <c r="AK20" s="25">
        <f t="shared" si="1"/>
        <v>14513.233436384662</v>
      </c>
      <c r="AL20" s="25">
        <f t="shared" ref="AL20:AO20" si="5">AL14*AL17</f>
        <v>14513.233436384662</v>
      </c>
      <c r="AM20" s="25">
        <f t="shared" si="5"/>
        <v>14513.233436384662</v>
      </c>
      <c r="AN20" s="25">
        <f t="shared" si="5"/>
        <v>14513.233436384662</v>
      </c>
      <c r="AO20" s="25">
        <f t="shared" si="5"/>
        <v>14513.233436384662</v>
      </c>
    </row>
    <row r="21" spans="1:41" x14ac:dyDescent="0.3">
      <c r="A21" t="s">
        <v>140</v>
      </c>
      <c r="B21" t="s">
        <v>143</v>
      </c>
      <c r="D21" s="25">
        <f>D15*D18</f>
        <v>305263.76708934782</v>
      </c>
      <c r="E21" s="25">
        <f>E15*E18</f>
        <v>620275.26080647076</v>
      </c>
      <c r="F21" s="25">
        <f t="shared" si="1"/>
        <v>628099.35906421673</v>
      </c>
      <c r="G21" s="25">
        <f t="shared" si="1"/>
        <v>635797.87136213004</v>
      </c>
      <c r="H21" s="25">
        <f t="shared" si="1"/>
        <v>643279.31323227566</v>
      </c>
      <c r="I21" s="25">
        <f t="shared" si="1"/>
        <v>650827.50338422589</v>
      </c>
      <c r="J21" s="25">
        <f t="shared" si="1"/>
        <v>648131.4328102289</v>
      </c>
      <c r="K21" s="25">
        <f t="shared" si="1"/>
        <v>647532.30601600755</v>
      </c>
      <c r="L21" s="25">
        <f t="shared" si="1"/>
        <v>647532.30601600755</v>
      </c>
      <c r="M21" s="25">
        <f t="shared" si="1"/>
        <v>647532.30601600755</v>
      </c>
      <c r="N21" s="25">
        <f t="shared" si="1"/>
        <v>647532.30601600755</v>
      </c>
      <c r="O21" s="25">
        <f t="shared" si="1"/>
        <v>647532.30601600755</v>
      </c>
      <c r="P21" s="25">
        <f t="shared" si="1"/>
        <v>647532.30601600755</v>
      </c>
      <c r="Q21" s="25">
        <f t="shared" si="1"/>
        <v>647532.30601600755</v>
      </c>
      <c r="R21" s="25">
        <f t="shared" si="1"/>
        <v>647532.30601600755</v>
      </c>
      <c r="S21" s="25">
        <f t="shared" si="1"/>
        <v>647532.30601600755</v>
      </c>
      <c r="T21" s="25">
        <f t="shared" si="1"/>
        <v>647532.30601600755</v>
      </c>
      <c r="U21" s="25">
        <f t="shared" si="1"/>
        <v>647532.30601600755</v>
      </c>
      <c r="V21" s="25">
        <f t="shared" si="1"/>
        <v>647532.30601600755</v>
      </c>
      <c r="W21" s="25">
        <f t="shared" si="1"/>
        <v>647532.30601600755</v>
      </c>
      <c r="X21" s="25">
        <f t="shared" si="1"/>
        <v>647532.30601600755</v>
      </c>
      <c r="Y21" s="25">
        <f t="shared" si="1"/>
        <v>647532.30601600755</v>
      </c>
      <c r="Z21" s="25">
        <f t="shared" si="1"/>
        <v>647532.30601600755</v>
      </c>
      <c r="AA21" s="25">
        <f t="shared" si="1"/>
        <v>647532.30601600755</v>
      </c>
      <c r="AB21" s="25">
        <f t="shared" si="1"/>
        <v>647532.30601600755</v>
      </c>
      <c r="AC21" s="25">
        <f t="shared" si="1"/>
        <v>647532.30601600755</v>
      </c>
      <c r="AD21" s="25">
        <f t="shared" si="1"/>
        <v>647532.30601600755</v>
      </c>
      <c r="AE21" s="25">
        <f t="shared" si="1"/>
        <v>647532.30601600755</v>
      </c>
      <c r="AF21" s="25">
        <f t="shared" si="1"/>
        <v>647532.30601600755</v>
      </c>
      <c r="AG21" s="25">
        <f t="shared" si="1"/>
        <v>647532.30601600755</v>
      </c>
      <c r="AH21" s="25">
        <f t="shared" si="1"/>
        <v>647532.30601600755</v>
      </c>
      <c r="AI21" s="25">
        <f t="shared" si="1"/>
        <v>647532.30601600755</v>
      </c>
      <c r="AJ21" s="25">
        <f t="shared" si="1"/>
        <v>647532.30601600755</v>
      </c>
      <c r="AK21" s="25">
        <f t="shared" si="1"/>
        <v>647532.30601600755</v>
      </c>
      <c r="AL21" s="25">
        <f t="shared" ref="AL21:AO21" si="6">AL15*AL18</f>
        <v>647532.30601600755</v>
      </c>
      <c r="AM21" s="25">
        <f t="shared" si="6"/>
        <v>647532.30601600755</v>
      </c>
      <c r="AN21" s="25">
        <f t="shared" si="6"/>
        <v>647532.30601600755</v>
      </c>
      <c r="AO21" s="25">
        <f t="shared" si="6"/>
        <v>647532.30601600755</v>
      </c>
    </row>
    <row r="22" spans="1:41" s="14" customFormat="1" x14ac:dyDescent="0.3">
      <c r="A22" s="14" t="s">
        <v>144</v>
      </c>
      <c r="D22" s="68">
        <f>SUM(D19:D21)</f>
        <v>692713.91488500778</v>
      </c>
      <c r="E22" s="68">
        <f>SUM(E19:E21)</f>
        <v>1409261.470036844</v>
      </c>
      <c r="F22" s="68">
        <f t="shared" ref="F22:AJ22" si="7">SUM(F19:F21)</f>
        <v>1429437.2216698513</v>
      </c>
      <c r="G22" s="68">
        <f t="shared" si="7"/>
        <v>1449348.0428651986</v>
      </c>
      <c r="H22" s="68">
        <f t="shared" si="7"/>
        <v>1468541.3768611497</v>
      </c>
      <c r="I22" s="68">
        <f t="shared" si="7"/>
        <v>1492313.4913311508</v>
      </c>
      <c r="J22" s="68">
        <f t="shared" si="7"/>
        <v>1487427.6663813428</v>
      </c>
      <c r="K22" s="68">
        <f t="shared" si="7"/>
        <v>1486474.4893590703</v>
      </c>
      <c r="L22" s="68">
        <f t="shared" si="7"/>
        <v>1486645.2332818513</v>
      </c>
      <c r="M22" s="68">
        <f t="shared" si="7"/>
        <v>1486815.9772046325</v>
      </c>
      <c r="N22" s="68">
        <f t="shared" si="7"/>
        <v>1486986.7211274132</v>
      </c>
      <c r="O22" s="68">
        <f t="shared" si="7"/>
        <v>1487328.2089729754</v>
      </c>
      <c r="P22" s="68">
        <f t="shared" si="7"/>
        <v>1487498.9528957563</v>
      </c>
      <c r="Q22" s="68">
        <f t="shared" si="7"/>
        <v>1487669.6968185373</v>
      </c>
      <c r="R22" s="68">
        <f t="shared" si="7"/>
        <v>1487840.4407413183</v>
      </c>
      <c r="S22" s="68">
        <f t="shared" si="7"/>
        <v>1488011.1846640995</v>
      </c>
      <c r="T22" s="68">
        <f t="shared" si="7"/>
        <v>1488181.9285868802</v>
      </c>
      <c r="U22" s="68">
        <f t="shared" si="7"/>
        <v>1488352.6725096614</v>
      </c>
      <c r="V22" s="68">
        <f t="shared" si="7"/>
        <v>1488694.1603552233</v>
      </c>
      <c r="W22" s="68">
        <f t="shared" si="7"/>
        <v>1488864.9042780043</v>
      </c>
      <c r="X22" s="68">
        <f t="shared" si="7"/>
        <v>1489035.6482007853</v>
      </c>
      <c r="Y22" s="68">
        <f t="shared" si="7"/>
        <v>1489206.3921235662</v>
      </c>
      <c r="Z22" s="68">
        <f t="shared" si="7"/>
        <v>1489377.1360463472</v>
      </c>
      <c r="AA22" s="68">
        <f t="shared" si="7"/>
        <v>1489547.8799691284</v>
      </c>
      <c r="AB22" s="68">
        <f t="shared" si="7"/>
        <v>1489718.6238919091</v>
      </c>
      <c r="AC22" s="68">
        <f t="shared" si="7"/>
        <v>1490060.1117374713</v>
      </c>
      <c r="AD22" s="68">
        <f t="shared" si="7"/>
        <v>1490060.1117374713</v>
      </c>
      <c r="AE22" s="68">
        <f t="shared" si="7"/>
        <v>1490060.1117374713</v>
      </c>
      <c r="AF22" s="68">
        <f t="shared" si="7"/>
        <v>1490060.1117374713</v>
      </c>
      <c r="AG22" s="68">
        <f t="shared" si="7"/>
        <v>1490060.1117374713</v>
      </c>
      <c r="AH22" s="68">
        <f t="shared" si="7"/>
        <v>1490060.1117374713</v>
      </c>
      <c r="AI22" s="68">
        <f t="shared" si="7"/>
        <v>1490060.1117374713</v>
      </c>
      <c r="AJ22" s="68">
        <f t="shared" si="7"/>
        <v>1490060.1117374713</v>
      </c>
      <c r="AK22" s="68">
        <f>SUM(AK19:AK21)</f>
        <v>1490060.1117374713</v>
      </c>
      <c r="AL22" s="68">
        <f t="shared" ref="AL22:AO22" si="8">SUM(AL19:AL21)</f>
        <v>1490060.1117374713</v>
      </c>
      <c r="AM22" s="68">
        <f t="shared" si="8"/>
        <v>1490060.1117374713</v>
      </c>
      <c r="AN22" s="68">
        <f t="shared" si="8"/>
        <v>1490060.1117374713</v>
      </c>
      <c r="AO22" s="68">
        <f t="shared" si="8"/>
        <v>1490060.1117374713</v>
      </c>
    </row>
    <row r="25" spans="1:41" hidden="1" x14ac:dyDescent="0.3">
      <c r="E25" s="55">
        <f>E13/'Traffic_Reduced highway VMT'!C27</f>
        <v>67594111.73792173</v>
      </c>
    </row>
    <row r="26" spans="1:41" hidden="1" x14ac:dyDescent="0.3">
      <c r="E26" s="39">
        <f>E25/12000</f>
        <v>5632.842644826811</v>
      </c>
    </row>
    <row r="27" spans="1:41" x14ac:dyDescent="0.3">
      <c r="E27" s="55"/>
    </row>
    <row r="29" spans="1:41" x14ac:dyDescent="0.3">
      <c r="E29" s="8"/>
    </row>
    <row r="30" spans="1:41" x14ac:dyDescent="0.3">
      <c r="E30" s="9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74398-3F98-460A-8F57-62FC2F6E5AE7}">
  <sheetPr>
    <tabColor rgb="FF7030A0"/>
  </sheetPr>
  <dimension ref="A1"/>
  <sheetViews>
    <sheetView workbookViewId="0">
      <selection activeCell="G29" sqref="G29"/>
    </sheetView>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500E8-EEE1-40B3-90CD-6443906EE1C0}">
  <sheetPr>
    <tabColor rgb="FF7030A0"/>
  </sheetPr>
  <dimension ref="A1:O41"/>
  <sheetViews>
    <sheetView workbookViewId="0">
      <selection activeCell="G27" sqref="G27"/>
    </sheetView>
  </sheetViews>
  <sheetFormatPr defaultRowHeight="14.4" x14ac:dyDescent="0.3"/>
  <cols>
    <col min="1" max="1" width="14.44140625" customWidth="1"/>
    <col min="7" max="7" width="32.5546875" customWidth="1"/>
    <col min="8" max="8" width="19.109375" customWidth="1"/>
    <col min="10" max="10" width="26.5546875" customWidth="1"/>
    <col min="11" max="11" width="22.5546875" customWidth="1"/>
    <col min="12" max="12" width="22" customWidth="1"/>
    <col min="14" max="15" width="16.5546875" customWidth="1"/>
  </cols>
  <sheetData>
    <row r="1" spans="1:15" x14ac:dyDescent="0.3">
      <c r="A1" s="14" t="s">
        <v>145</v>
      </c>
      <c r="H1" s="74" t="s">
        <v>146</v>
      </c>
    </row>
    <row r="2" spans="1:15" x14ac:dyDescent="0.3">
      <c r="A2" t="s">
        <v>67</v>
      </c>
      <c r="G2" t="s">
        <v>147</v>
      </c>
      <c r="J2" t="s">
        <v>148</v>
      </c>
      <c r="N2" t="s">
        <v>149</v>
      </c>
    </row>
    <row r="3" spans="1:15" x14ac:dyDescent="0.3">
      <c r="A3" t="s">
        <v>150</v>
      </c>
      <c r="G3" t="s">
        <v>151</v>
      </c>
      <c r="J3" t="s">
        <v>152</v>
      </c>
      <c r="N3" t="s">
        <v>153</v>
      </c>
    </row>
    <row r="4" spans="1:15" x14ac:dyDescent="0.3">
      <c r="A4" s="9" t="s">
        <v>83</v>
      </c>
      <c r="B4" s="9" t="s">
        <v>154</v>
      </c>
      <c r="C4" s="9" t="s">
        <v>155</v>
      </c>
      <c r="D4" s="9" t="s">
        <v>156</v>
      </c>
      <c r="E4" s="9" t="s">
        <v>33</v>
      </c>
      <c r="G4" s="2" t="s">
        <v>157</v>
      </c>
      <c r="H4" s="2" t="s">
        <v>158</v>
      </c>
      <c r="J4" t="s">
        <v>159</v>
      </c>
      <c r="N4" s="2" t="s">
        <v>160</v>
      </c>
      <c r="O4" s="2" t="s">
        <v>161</v>
      </c>
    </row>
    <row r="5" spans="1:15" x14ac:dyDescent="0.3">
      <c r="A5">
        <v>2021</v>
      </c>
      <c r="B5" s="10">
        <v>15600</v>
      </c>
      <c r="C5" s="10">
        <v>41500</v>
      </c>
      <c r="D5" s="10">
        <v>748600</v>
      </c>
      <c r="E5" s="10">
        <v>52</v>
      </c>
      <c r="G5" s="2" t="s">
        <v>162</v>
      </c>
      <c r="H5" s="18">
        <v>3900</v>
      </c>
      <c r="J5" s="11" t="s">
        <v>163</v>
      </c>
      <c r="K5" s="11" t="s">
        <v>164</v>
      </c>
      <c r="L5" s="14"/>
      <c r="N5" s="2">
        <v>2003</v>
      </c>
      <c r="O5" s="2">
        <v>1.38</v>
      </c>
    </row>
    <row r="6" spans="1:15" x14ac:dyDescent="0.3">
      <c r="A6">
        <v>2022</v>
      </c>
      <c r="B6" s="10">
        <v>15800</v>
      </c>
      <c r="C6" s="10">
        <v>42300</v>
      </c>
      <c r="D6" s="10">
        <v>761600</v>
      </c>
      <c r="E6" s="10">
        <v>53</v>
      </c>
      <c r="G6" s="2" t="s">
        <v>165</v>
      </c>
      <c r="H6" s="18">
        <v>77200</v>
      </c>
      <c r="J6" s="117" t="s">
        <v>166</v>
      </c>
      <c r="K6" s="117"/>
      <c r="L6" s="4"/>
      <c r="N6" s="2">
        <v>2004</v>
      </c>
      <c r="O6" s="2">
        <v>1.34</v>
      </c>
    </row>
    <row r="7" spans="1:15" x14ac:dyDescent="0.3">
      <c r="A7">
        <v>2023</v>
      </c>
      <c r="B7" s="10">
        <v>16000</v>
      </c>
      <c r="C7" s="10">
        <v>43100</v>
      </c>
      <c r="D7" s="10">
        <v>774700</v>
      </c>
      <c r="E7" s="10">
        <v>54</v>
      </c>
      <c r="G7" s="2" t="s">
        <v>167</v>
      </c>
      <c r="H7" s="18">
        <v>151100</v>
      </c>
      <c r="J7" s="2" t="s">
        <v>168</v>
      </c>
      <c r="K7" s="1">
        <v>29.4</v>
      </c>
      <c r="L7" s="15"/>
      <c r="N7" s="2">
        <v>2005</v>
      </c>
      <c r="O7" s="2">
        <v>1.3</v>
      </c>
    </row>
    <row r="8" spans="1:15" x14ac:dyDescent="0.3">
      <c r="A8">
        <v>2024</v>
      </c>
      <c r="B8" s="10">
        <v>16200</v>
      </c>
      <c r="C8" s="10">
        <v>44000</v>
      </c>
      <c r="D8" s="10">
        <v>788100</v>
      </c>
      <c r="E8" s="10">
        <v>55</v>
      </c>
      <c r="G8" s="2" t="s">
        <v>169</v>
      </c>
      <c r="H8" s="18">
        <v>554800</v>
      </c>
      <c r="J8" s="2" t="s">
        <v>170</v>
      </c>
      <c r="K8" s="1">
        <v>17.8</v>
      </c>
      <c r="L8" s="15"/>
      <c r="N8" s="2">
        <v>2006</v>
      </c>
      <c r="O8" s="2">
        <v>1.26</v>
      </c>
    </row>
    <row r="9" spans="1:15" x14ac:dyDescent="0.3">
      <c r="A9">
        <v>2025</v>
      </c>
      <c r="B9" s="10">
        <v>16500</v>
      </c>
      <c r="C9" s="10">
        <v>44900</v>
      </c>
      <c r="D9" s="10">
        <v>801700</v>
      </c>
      <c r="E9" s="10">
        <v>56</v>
      </c>
      <c r="G9" s="2" t="s">
        <v>171</v>
      </c>
      <c r="H9" s="18">
        <v>11600000</v>
      </c>
      <c r="J9" s="117" t="s">
        <v>172</v>
      </c>
      <c r="K9" s="117"/>
      <c r="L9" s="4"/>
      <c r="N9" s="2">
        <v>2007</v>
      </c>
      <c r="O9" s="2">
        <v>1.23</v>
      </c>
    </row>
    <row r="10" spans="1:15" x14ac:dyDescent="0.3">
      <c r="A10">
        <v>2026</v>
      </c>
      <c r="B10" s="10">
        <v>16800</v>
      </c>
      <c r="C10" s="10">
        <v>45700</v>
      </c>
      <c r="D10" s="10">
        <v>814500</v>
      </c>
      <c r="E10" s="10">
        <v>57</v>
      </c>
      <c r="G10" s="2" t="s">
        <v>173</v>
      </c>
      <c r="H10" s="18">
        <v>210300</v>
      </c>
      <c r="J10" s="2" t="s">
        <v>174</v>
      </c>
      <c r="K10" s="1">
        <v>32</v>
      </c>
      <c r="L10" s="15"/>
      <c r="N10" s="2">
        <v>2008</v>
      </c>
      <c r="O10" s="2">
        <v>1.2</v>
      </c>
    </row>
    <row r="11" spans="1:15" x14ac:dyDescent="0.3">
      <c r="A11">
        <v>2027</v>
      </c>
      <c r="B11" s="10">
        <v>17100</v>
      </c>
      <c r="C11" s="10">
        <v>46500</v>
      </c>
      <c r="D11" s="10">
        <v>827400</v>
      </c>
      <c r="E11" s="10">
        <v>58</v>
      </c>
      <c r="G11" s="2" t="s">
        <v>175</v>
      </c>
      <c r="H11" s="18">
        <v>159800</v>
      </c>
      <c r="J11" s="2" t="s">
        <v>176</v>
      </c>
      <c r="K11" s="1">
        <v>33.6</v>
      </c>
      <c r="L11" s="15"/>
      <c r="N11" s="2">
        <v>2009</v>
      </c>
      <c r="O11" s="2">
        <v>1.2</v>
      </c>
    </row>
    <row r="12" spans="1:15" x14ac:dyDescent="0.3">
      <c r="A12">
        <v>2028</v>
      </c>
      <c r="B12" s="10">
        <v>17400</v>
      </c>
      <c r="C12" s="10">
        <v>47300</v>
      </c>
      <c r="D12" s="10">
        <v>840600</v>
      </c>
      <c r="E12" s="10">
        <v>60</v>
      </c>
      <c r="J12" s="2" t="s">
        <v>177</v>
      </c>
      <c r="K12" s="1">
        <v>52.5</v>
      </c>
      <c r="L12" s="15"/>
      <c r="N12" s="2">
        <v>2010</v>
      </c>
      <c r="O12" s="2">
        <v>1.18</v>
      </c>
    </row>
    <row r="13" spans="1:15" x14ac:dyDescent="0.3">
      <c r="A13">
        <v>2029</v>
      </c>
      <c r="B13" s="10">
        <v>17700</v>
      </c>
      <c r="C13" s="10">
        <v>48200</v>
      </c>
      <c r="D13" s="10">
        <v>854000</v>
      </c>
      <c r="E13" s="10">
        <v>61</v>
      </c>
      <c r="G13" s="2" t="s">
        <v>178</v>
      </c>
      <c r="H13" s="2" t="s">
        <v>158</v>
      </c>
      <c r="N13" s="2">
        <v>2011</v>
      </c>
      <c r="O13" s="2">
        <v>1.1599999999999999</v>
      </c>
    </row>
    <row r="14" spans="1:15" ht="16.2" x14ac:dyDescent="0.3">
      <c r="A14">
        <v>2030</v>
      </c>
      <c r="B14" s="10">
        <v>18100</v>
      </c>
      <c r="C14" s="10">
        <v>49100</v>
      </c>
      <c r="D14" s="10">
        <v>867600</v>
      </c>
      <c r="E14" s="10">
        <v>62</v>
      </c>
      <c r="G14" s="2" t="s">
        <v>179</v>
      </c>
      <c r="H14" s="18">
        <v>302600</v>
      </c>
      <c r="J14" t="s">
        <v>180</v>
      </c>
      <c r="N14" s="2">
        <v>2012</v>
      </c>
      <c r="O14" s="2">
        <v>1.1399999999999999</v>
      </c>
    </row>
    <row r="15" spans="1:15" ht="16.2" x14ac:dyDescent="0.3">
      <c r="A15">
        <v>2031</v>
      </c>
      <c r="B15" s="10">
        <v>18100</v>
      </c>
      <c r="C15" s="10">
        <v>49100</v>
      </c>
      <c r="D15" s="10">
        <v>867600</v>
      </c>
      <c r="E15" s="10">
        <v>63</v>
      </c>
      <c r="G15" s="2" t="s">
        <v>181</v>
      </c>
      <c r="H15" s="18">
        <v>12837400</v>
      </c>
      <c r="J15" s="2" t="s">
        <v>182</v>
      </c>
      <c r="K15" s="2" t="s">
        <v>183</v>
      </c>
      <c r="N15" s="2">
        <v>2013</v>
      </c>
      <c r="O15" s="2">
        <v>1.1200000000000001</v>
      </c>
    </row>
    <row r="16" spans="1:15" x14ac:dyDescent="0.3">
      <c r="A16">
        <v>2032</v>
      </c>
      <c r="B16" s="10">
        <v>18100</v>
      </c>
      <c r="C16" s="10">
        <v>49100</v>
      </c>
      <c r="D16" s="10">
        <v>867600</v>
      </c>
      <c r="E16" s="10">
        <v>64</v>
      </c>
      <c r="G16" t="s">
        <v>184</v>
      </c>
      <c r="J16" s="2" t="s">
        <v>185</v>
      </c>
      <c r="K16" s="2">
        <v>1.48</v>
      </c>
      <c r="N16" s="2">
        <v>2014</v>
      </c>
      <c r="O16" s="2">
        <v>1.1000000000000001</v>
      </c>
    </row>
    <row r="17" spans="1:15" x14ac:dyDescent="0.3">
      <c r="A17">
        <v>2033</v>
      </c>
      <c r="B17" s="10">
        <v>18100</v>
      </c>
      <c r="C17" s="10">
        <v>49100</v>
      </c>
      <c r="D17" s="10">
        <v>867600</v>
      </c>
      <c r="E17" s="10">
        <v>65</v>
      </c>
      <c r="J17" s="2" t="s">
        <v>186</v>
      </c>
      <c r="K17" s="2">
        <v>1.58</v>
      </c>
      <c r="N17" s="2">
        <v>2015</v>
      </c>
      <c r="O17" s="2">
        <v>1.0900000000000001</v>
      </c>
    </row>
    <row r="18" spans="1:15" x14ac:dyDescent="0.3">
      <c r="A18">
        <v>2034</v>
      </c>
      <c r="B18" s="10">
        <v>18100</v>
      </c>
      <c r="C18" s="10">
        <v>49100</v>
      </c>
      <c r="D18" s="10">
        <v>867600</v>
      </c>
      <c r="E18" s="10">
        <v>66</v>
      </c>
      <c r="G18" t="s">
        <v>187</v>
      </c>
      <c r="J18" s="2" t="s">
        <v>188</v>
      </c>
      <c r="K18" s="2">
        <v>2.02</v>
      </c>
      <c r="N18" s="2">
        <v>2016</v>
      </c>
      <c r="O18" s="2">
        <v>1.07</v>
      </c>
    </row>
    <row r="19" spans="1:15" x14ac:dyDescent="0.3">
      <c r="A19">
        <v>2035</v>
      </c>
      <c r="B19" s="10">
        <v>18100</v>
      </c>
      <c r="C19" s="10">
        <v>49100</v>
      </c>
      <c r="D19" s="10">
        <v>867600</v>
      </c>
      <c r="E19" s="10">
        <v>67</v>
      </c>
      <c r="G19" t="s">
        <v>189</v>
      </c>
      <c r="J19" s="2" t="s">
        <v>190</v>
      </c>
      <c r="K19" s="2">
        <v>1.67</v>
      </c>
      <c r="N19" s="2">
        <v>2017</v>
      </c>
      <c r="O19" s="2">
        <v>1.05</v>
      </c>
    </row>
    <row r="20" spans="1:15" x14ac:dyDescent="0.3">
      <c r="A20">
        <v>2036</v>
      </c>
      <c r="B20" s="10">
        <v>18100</v>
      </c>
      <c r="C20" s="10">
        <v>49100</v>
      </c>
      <c r="D20" s="10">
        <v>867600</v>
      </c>
      <c r="E20" s="10">
        <v>69</v>
      </c>
      <c r="G20" s="2" t="s">
        <v>191</v>
      </c>
      <c r="H20" s="19">
        <v>4600</v>
      </c>
      <c r="J20" t="s">
        <v>192</v>
      </c>
      <c r="N20" s="2">
        <v>2018</v>
      </c>
      <c r="O20" s="2">
        <v>1.03</v>
      </c>
    </row>
    <row r="21" spans="1:15" x14ac:dyDescent="0.3">
      <c r="A21">
        <v>2037</v>
      </c>
      <c r="B21" s="10">
        <v>18100</v>
      </c>
      <c r="C21" s="10">
        <v>49100</v>
      </c>
      <c r="D21" s="10">
        <v>867600</v>
      </c>
      <c r="E21" s="10">
        <v>70</v>
      </c>
      <c r="N21" s="2">
        <v>2019</v>
      </c>
      <c r="O21" s="2">
        <v>1.01</v>
      </c>
    </row>
    <row r="22" spans="1:15" x14ac:dyDescent="0.3">
      <c r="A22">
        <v>2038</v>
      </c>
      <c r="B22" s="10">
        <v>18100</v>
      </c>
      <c r="C22" s="10">
        <v>49100</v>
      </c>
      <c r="D22" s="10">
        <v>867600</v>
      </c>
      <c r="E22" s="10">
        <v>71</v>
      </c>
      <c r="J22" t="s">
        <v>193</v>
      </c>
      <c r="N22" s="2">
        <v>2020</v>
      </c>
      <c r="O22" s="2">
        <v>1</v>
      </c>
    </row>
    <row r="23" spans="1:15" x14ac:dyDescent="0.3">
      <c r="A23">
        <v>2039</v>
      </c>
      <c r="B23" s="10">
        <v>18100</v>
      </c>
      <c r="C23" s="10">
        <v>49100</v>
      </c>
      <c r="D23" s="10">
        <v>867600</v>
      </c>
      <c r="E23" s="10">
        <v>72</v>
      </c>
      <c r="J23" s="2" t="s">
        <v>194</v>
      </c>
      <c r="K23" s="2" t="s">
        <v>195</v>
      </c>
    </row>
    <row r="24" spans="1:15" x14ac:dyDescent="0.3">
      <c r="A24">
        <v>2040</v>
      </c>
      <c r="B24" s="10">
        <v>18100</v>
      </c>
      <c r="C24" s="10">
        <v>49100</v>
      </c>
      <c r="D24" s="10">
        <v>867600</v>
      </c>
      <c r="E24" s="10">
        <v>73</v>
      </c>
      <c r="J24" s="2" t="s">
        <v>196</v>
      </c>
      <c r="K24" s="13">
        <v>0.45</v>
      </c>
      <c r="L24" s="16"/>
    </row>
    <row r="25" spans="1:15" x14ac:dyDescent="0.3">
      <c r="A25">
        <v>2041</v>
      </c>
      <c r="B25" s="10">
        <v>18100</v>
      </c>
      <c r="C25" s="10">
        <v>49100</v>
      </c>
      <c r="D25" s="10">
        <v>867600</v>
      </c>
      <c r="E25" s="10">
        <v>74</v>
      </c>
      <c r="J25" s="2" t="s">
        <v>197</v>
      </c>
      <c r="K25" s="13">
        <v>0.94</v>
      </c>
      <c r="L25" s="16"/>
    </row>
    <row r="26" spans="1:15" x14ac:dyDescent="0.3">
      <c r="A26">
        <v>2042</v>
      </c>
      <c r="B26" s="10">
        <v>18100</v>
      </c>
      <c r="C26" s="10">
        <v>49100</v>
      </c>
      <c r="D26" s="10">
        <v>867600</v>
      </c>
      <c r="E26" s="10">
        <v>75</v>
      </c>
      <c r="J26" t="s">
        <v>198</v>
      </c>
    </row>
    <row r="27" spans="1:15" x14ac:dyDescent="0.3">
      <c r="A27">
        <v>2043</v>
      </c>
      <c r="B27" s="10">
        <v>18100</v>
      </c>
      <c r="C27" s="10">
        <v>49100</v>
      </c>
      <c r="D27" s="10">
        <v>867600</v>
      </c>
      <c r="E27" s="10">
        <v>77</v>
      </c>
      <c r="J27" t="s">
        <v>199</v>
      </c>
    </row>
    <row r="28" spans="1:15" x14ac:dyDescent="0.3">
      <c r="A28">
        <v>2044</v>
      </c>
      <c r="B28" s="10">
        <v>18100</v>
      </c>
      <c r="C28" s="10">
        <v>49100</v>
      </c>
      <c r="D28" s="10">
        <v>867600</v>
      </c>
      <c r="E28" s="10">
        <v>78</v>
      </c>
    </row>
    <row r="29" spans="1:15" x14ac:dyDescent="0.3">
      <c r="A29">
        <v>2045</v>
      </c>
      <c r="B29" s="10">
        <v>18100</v>
      </c>
      <c r="C29" s="10">
        <v>49100</v>
      </c>
      <c r="D29" s="10">
        <v>867600</v>
      </c>
      <c r="E29" s="10">
        <v>79</v>
      </c>
      <c r="J29" t="s">
        <v>200</v>
      </c>
    </row>
    <row r="30" spans="1:15" x14ac:dyDescent="0.3">
      <c r="A30">
        <v>2046</v>
      </c>
      <c r="B30" s="10">
        <v>18100</v>
      </c>
      <c r="C30" s="10">
        <v>49100</v>
      </c>
      <c r="D30" s="10">
        <v>867600</v>
      </c>
      <c r="E30" s="10">
        <v>80</v>
      </c>
      <c r="J30" s="2"/>
      <c r="K30" s="118" t="s">
        <v>201</v>
      </c>
      <c r="L30" s="119"/>
    </row>
    <row r="31" spans="1:15" x14ac:dyDescent="0.3">
      <c r="A31">
        <v>2047</v>
      </c>
      <c r="B31" s="10">
        <v>18100</v>
      </c>
      <c r="C31" s="10">
        <v>49100</v>
      </c>
      <c r="D31" s="10">
        <v>867600</v>
      </c>
      <c r="E31" s="10">
        <v>81</v>
      </c>
      <c r="J31" s="2" t="s">
        <v>202</v>
      </c>
      <c r="K31" s="2" t="s">
        <v>203</v>
      </c>
      <c r="L31" s="2" t="s">
        <v>204</v>
      </c>
    </row>
    <row r="32" spans="1:15" x14ac:dyDescent="0.3">
      <c r="A32">
        <v>2048</v>
      </c>
      <c r="B32" s="10">
        <v>18100</v>
      </c>
      <c r="C32" s="10">
        <v>49100</v>
      </c>
      <c r="D32" s="10">
        <v>867600</v>
      </c>
      <c r="E32" s="10">
        <v>82</v>
      </c>
      <c r="J32" s="2" t="s">
        <v>205</v>
      </c>
      <c r="K32" s="17">
        <v>0.124</v>
      </c>
      <c r="L32" s="17">
        <v>1.6999999999999999E-3</v>
      </c>
    </row>
    <row r="33" spans="1:12" x14ac:dyDescent="0.3">
      <c r="A33">
        <v>2049</v>
      </c>
      <c r="B33" s="10">
        <v>18100</v>
      </c>
      <c r="C33" s="10">
        <v>49100</v>
      </c>
      <c r="D33" s="10">
        <v>867600</v>
      </c>
      <c r="E33" s="10">
        <v>83</v>
      </c>
      <c r="J33" s="2" t="s">
        <v>206</v>
      </c>
      <c r="K33" s="17">
        <v>2.5999999999999999E-2</v>
      </c>
      <c r="L33" s="17">
        <v>2.0000000000000001E-4</v>
      </c>
    </row>
    <row r="34" spans="1:12" x14ac:dyDescent="0.3">
      <c r="A34">
        <v>2050</v>
      </c>
      <c r="B34" s="10">
        <v>18100</v>
      </c>
      <c r="C34" s="10">
        <v>49100</v>
      </c>
      <c r="D34" s="10">
        <v>867600</v>
      </c>
      <c r="E34" s="10">
        <v>85</v>
      </c>
      <c r="J34" s="2" t="s">
        <v>207</v>
      </c>
      <c r="K34" s="17">
        <v>0.104</v>
      </c>
      <c r="L34" s="17">
        <v>1E-3</v>
      </c>
    </row>
    <row r="35" spans="1:12" x14ac:dyDescent="0.3">
      <c r="J35" s="2" t="s">
        <v>208</v>
      </c>
      <c r="K35" s="17">
        <v>0.31</v>
      </c>
      <c r="L35" s="17">
        <v>3.9300000000000002E-2</v>
      </c>
    </row>
    <row r="36" spans="1:12" x14ac:dyDescent="0.3">
      <c r="J36" s="2" t="s">
        <v>209</v>
      </c>
      <c r="K36" s="17">
        <v>6.7000000000000004E-2</v>
      </c>
      <c r="L36" s="17">
        <v>3.3E-3</v>
      </c>
    </row>
    <row r="37" spans="1:12" x14ac:dyDescent="0.3">
      <c r="J37" s="2" t="s">
        <v>210</v>
      </c>
      <c r="K37" s="17">
        <v>0.21199999999999999</v>
      </c>
      <c r="L37" s="17">
        <v>1.9699999999999999E-2</v>
      </c>
    </row>
    <row r="38" spans="1:12" x14ac:dyDescent="0.3">
      <c r="J38" s="2" t="s">
        <v>211</v>
      </c>
      <c r="K38" s="17">
        <v>0.13800000000000001</v>
      </c>
      <c r="L38" s="17">
        <v>4.5999999999999999E-3</v>
      </c>
    </row>
    <row r="39" spans="1:12" x14ac:dyDescent="0.3">
      <c r="J39" s="2" t="s">
        <v>212</v>
      </c>
      <c r="K39" s="17">
        <v>3.3000000000000002E-2</v>
      </c>
      <c r="L39" s="17">
        <v>5.9999999999999995E-4</v>
      </c>
    </row>
    <row r="40" spans="1:12" x14ac:dyDescent="0.3">
      <c r="J40" s="2" t="s">
        <v>213</v>
      </c>
      <c r="K40" s="17">
        <v>0.115</v>
      </c>
      <c r="L40" s="17">
        <v>2.8E-3</v>
      </c>
    </row>
    <row r="41" spans="1:12" x14ac:dyDescent="0.3">
      <c r="J41" t="s">
        <v>214</v>
      </c>
    </row>
  </sheetData>
  <mergeCells count="3">
    <mergeCell ref="J6:K6"/>
    <mergeCell ref="J9:K9"/>
    <mergeCell ref="K30:L3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E3938-0B27-4D3B-9A79-B7DA89F80B14}">
  <sheetPr>
    <tabColor rgb="FF7030A0"/>
  </sheetPr>
  <dimension ref="A1:A3"/>
  <sheetViews>
    <sheetView workbookViewId="0">
      <selection activeCell="A12" sqref="A12"/>
    </sheetView>
  </sheetViews>
  <sheetFormatPr defaultRowHeight="14.4" x14ac:dyDescent="0.3"/>
  <cols>
    <col min="1" max="1" width="107" style="7" customWidth="1"/>
    <col min="2" max="2" width="15.5546875" customWidth="1"/>
  </cols>
  <sheetData>
    <row r="1" spans="1:1" ht="82.35" customHeight="1" x14ac:dyDescent="0.3">
      <c r="A1" s="5" t="s">
        <v>215</v>
      </c>
    </row>
    <row r="2" spans="1:1" ht="82.35" customHeight="1" x14ac:dyDescent="0.3">
      <c r="A2" s="6" t="s">
        <v>216</v>
      </c>
    </row>
    <row r="3" spans="1:1" ht="82.35" customHeight="1" x14ac:dyDescent="0.3">
      <c r="A3" s="6" t="s">
        <v>217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6BE6D9D3487945BB0015217D68CD8F" ma:contentTypeVersion="14" ma:contentTypeDescription="Create a new document." ma:contentTypeScope="" ma:versionID="f655ee54ca9357ace6140cbb5e198d99">
  <xsd:schema xmlns:xsd="http://www.w3.org/2001/XMLSchema" xmlns:xs="http://www.w3.org/2001/XMLSchema" xmlns:p="http://schemas.microsoft.com/office/2006/metadata/properties" xmlns:ns2="53fd0e72-0694-496b-bc49-782d969134a9" xmlns:ns3="d2112c61-a1e0-41a2-bac4-0f7971fc9b10" targetNamespace="http://schemas.microsoft.com/office/2006/metadata/properties" ma:root="true" ma:fieldsID="96f141b91ed8e59072343687ddf8f69d" ns2:_="" ns3:_="">
    <xsd:import namespace="53fd0e72-0694-496b-bc49-782d969134a9"/>
    <xsd:import namespace="d2112c61-a1e0-41a2-bac4-0f7971fc9b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d0e72-0694-496b-bc49-782d969134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478efe9-3e83-47ab-9518-2d754b32d76b"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112c61-a1e0-41a2-bac4-0f7971fc9b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da4094-7290-4f52-87c7-f9dcb7e24974}" ma:internalName="TaxCatchAll" ma:showField="CatchAllData" ma:web="d2112c61-a1e0-41a2-bac4-0f7971fc9b1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112c61-a1e0-41a2-bac4-0f7971fc9b10" xsi:nil="true"/>
    <lcf76f155ced4ddcb4097134ff3c332f xmlns="53fd0e72-0694-496b-bc49-782d969134a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7AF556B-0E02-4E91-ACD5-652EE52B50DB}"/>
</file>

<file path=customXml/itemProps2.xml><?xml version="1.0" encoding="utf-8"?>
<ds:datastoreItem xmlns:ds="http://schemas.openxmlformats.org/officeDocument/2006/customXml" ds:itemID="{8383C191-A58B-40F3-9C3B-16579A52BCAB}">
  <ds:schemaRefs>
    <ds:schemaRef ds:uri="http://schemas.microsoft.com/sharepoint/v3/contenttype/forms"/>
  </ds:schemaRefs>
</ds:datastoreItem>
</file>

<file path=customXml/itemProps3.xml><?xml version="1.0" encoding="utf-8"?>
<ds:datastoreItem xmlns:ds="http://schemas.openxmlformats.org/officeDocument/2006/customXml" ds:itemID="{C2EDA56A-670F-4B66-B41D-E43D1D0A6451}">
  <ds:schemaRefs>
    <ds:schemaRef ds:uri="http://schemas.microsoft.com/office/2006/metadata/properties"/>
    <ds:schemaRef ds:uri="http://schemas.microsoft.com/office/infopath/2007/PartnerControls"/>
    <ds:schemaRef ds:uri="d2112c61-a1e0-41a2-bac4-0f7971fc9b10"/>
    <ds:schemaRef ds:uri="53fd0e72-0694-496b-bc49-782d969134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 Tables</vt:lpstr>
      <vt:lpstr>30yr Horizon_noshipping</vt:lpstr>
      <vt:lpstr>30yr Horizon_shipping</vt:lpstr>
      <vt:lpstr>Traffic_Reduced port VMT</vt:lpstr>
      <vt:lpstr>Traffic_Reduced highway VMT</vt:lpstr>
      <vt:lpstr>Air Quality</vt:lpstr>
      <vt:lpstr>References&gt;</vt:lpstr>
      <vt:lpstr>BCA Values</vt:lpstr>
      <vt:lpstr>Project Information</vt:lpstr>
      <vt:lpstr>Updated Project Costs</vt:lpstr>
      <vt:lpstr>Crash stats</vt:lpstr>
      <vt:lpstr>project benefits_PAMT_pubbridge</vt:lpstr>
      <vt:lpstr>Archived&gt;</vt:lpstr>
      <vt:lpstr>Project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Dattels, Celia</dc:creator>
  <cp:keywords/>
  <dc:description/>
  <cp:lastModifiedBy>Dattels, Celia</cp:lastModifiedBy>
  <cp:revision/>
  <dcterms:created xsi:type="dcterms:W3CDTF">2022-03-22T18:18:13Z</dcterms:created>
  <dcterms:modified xsi:type="dcterms:W3CDTF">2022-04-11T19:22:53Z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0x010100A06BE6D9D3487945BB0015217D68CD8F</vt:lpwstr>
  </property>
  <property fmtid="{D5CDD505-2E9C-101B-9397-08002B2CF9AE}" pid="3" name="MediaServiceImageTags">
    <vt:lpwstr/>
  </property>
</Properties>
</file>