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defaultThemeVersion="166925"/>
  <mc:AlternateContent xmlns:mc="http://schemas.openxmlformats.org/markup-compatibility/2006">
    <mc:Choice Requires="x15">
      <x15ac:absPath xmlns:x15ac="http://schemas.microsoft.com/office/spreadsheetml/2010/11/ac" url="P:\Amanda\2023 RAISE - PAMT Connector Bridge\"/>
    </mc:Choice>
  </mc:AlternateContent>
  <xr:revisionPtr revIDLastSave="0" documentId="8_{B0104ECF-A006-4A5A-A762-CCA41C79BE80}" xr6:coauthVersionLast="47" xr6:coauthVersionMax="47" xr10:uidLastSave="{00000000-0000-0000-0000-000000000000}"/>
  <bookViews>
    <workbookView xWindow="15150" yWindow="240" windowWidth="13650" windowHeight="16785" firstSheet="1" activeTab="1" xr2:uid="{D29F61AF-2DA0-4577-BF5B-EDC609353EB7}"/>
  </bookViews>
  <sheets>
    <sheet name="Cover &amp; Table of Contents" sheetId="22" r:id="rId1"/>
    <sheet name="Summary Tables" sheetId="17" r:id="rId2"/>
    <sheet name="30yr Horizon_noshipping" sheetId="20" r:id="rId3"/>
    <sheet name="Traffic_Reduced port VMT" sheetId="13" r:id="rId4"/>
    <sheet name="Traffic_Reduced highway VMT" sheetId="9" r:id="rId5"/>
    <sheet name="Air Quality" sheetId="6" r:id="rId6"/>
    <sheet name="References&gt;" sheetId="15" r:id="rId7"/>
    <sheet name="BCA Values" sheetId="1" r:id="rId8"/>
    <sheet name="Project Information" sheetId="5" r:id="rId9"/>
    <sheet name="Updated Project Costs" sheetId="21" r:id="rId10"/>
    <sheet name="Crash stats" sheetId="14" r:id="rId11"/>
    <sheet name="project benefits_PAMT_pubbridge" sheetId="12" r:id="rId12"/>
    <sheet name="Total reduced terminal VMT" sheetId="26" r:id="rId13"/>
    <sheet name="Emissions" sheetId="24" r:id="rId14"/>
    <sheet name="Archived&gt;" sheetId="19" r:id="rId15"/>
    <sheet name="30yr Horizon_shipping" sheetId="2" r:id="rId16"/>
    <sheet name="Raise22_capturevolumes" sheetId="23" r:id="rId17"/>
    <sheet name="Project Costs" sheetId="8" r:id="rId18"/>
  </sheets>
  <definedNames>
    <definedName name="_ftnref1" localSheetId="9">'Updated Project Costs'!$E$52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9" i="9" l="1"/>
  <c r="G37" i="13"/>
  <c r="G36" i="13"/>
  <c r="E15" i="6"/>
  <c r="E14" i="6"/>
  <c r="E13" i="6"/>
  <c r="H50" i="21"/>
  <c r="H49" i="21"/>
  <c r="G50" i="21"/>
  <c r="G49" i="21"/>
  <c r="I49" i="21" l="1"/>
  <c r="G51" i="21"/>
  <c r="I50" i="21"/>
  <c r="I51" i="21" s="1"/>
  <c r="H51" i="21"/>
  <c r="C63" i="21" l="1"/>
  <c r="D63" i="21"/>
  <c r="E63" i="21"/>
  <c r="D56" i="21" s="1"/>
  <c r="E56" i="21" s="1"/>
  <c r="F56" i="21" s="1"/>
  <c r="B63" i="21"/>
  <c r="F22" i="12"/>
  <c r="G22" i="12"/>
  <c r="H22" i="12"/>
  <c r="I22" i="12"/>
  <c r="J22" i="12"/>
  <c r="E22" i="12"/>
  <c r="J20" i="12"/>
  <c r="I20" i="12"/>
  <c r="H20" i="12"/>
  <c r="G20" i="12"/>
  <c r="F20" i="12"/>
  <c r="E20" i="12"/>
  <c r="C14" i="6"/>
  <c r="C15" i="6"/>
  <c r="C13" i="6"/>
  <c r="E37" i="13"/>
  <c r="E36" i="13"/>
  <c r="AO24" i="20"/>
  <c r="K24" i="20"/>
  <c r="AI21" i="6"/>
  <c r="AI20" i="6"/>
  <c r="AI19" i="6"/>
  <c r="E21" i="6"/>
  <c r="E20" i="6"/>
  <c r="E19" i="6"/>
  <c r="AI16" i="6"/>
  <c r="AI22" i="6" s="1"/>
  <c r="AO23" i="20" s="1"/>
  <c r="AI17" i="6"/>
  <c r="AI18" i="6"/>
  <c r="AI14" i="6"/>
  <c r="AI15" i="6"/>
  <c r="AI13" i="6"/>
  <c r="AI11" i="6"/>
  <c r="AO11" i="20"/>
  <c r="AO12" i="20"/>
  <c r="AO13" i="20"/>
  <c r="AO14" i="20"/>
  <c r="AO15" i="20"/>
  <c r="AO16" i="20"/>
  <c r="AO17" i="20"/>
  <c r="AO1" i="20"/>
  <c r="AO18" i="20" s="1"/>
  <c r="H38" i="13"/>
  <c r="I38" i="13"/>
  <c r="J38" i="13"/>
  <c r="K38" i="13"/>
  <c r="L38" i="13"/>
  <c r="M38" i="13"/>
  <c r="N38" i="13"/>
  <c r="O38" i="13"/>
  <c r="P38" i="13"/>
  <c r="Q38" i="13"/>
  <c r="R38" i="13"/>
  <c r="S38" i="13"/>
  <c r="T38" i="13"/>
  <c r="U38" i="13"/>
  <c r="V38" i="13"/>
  <c r="W38" i="13"/>
  <c r="X38" i="13"/>
  <c r="Y38" i="13"/>
  <c r="Z38" i="13"/>
  <c r="AA38" i="13"/>
  <c r="AB38" i="13"/>
  <c r="AC38" i="13"/>
  <c r="AD38" i="13"/>
  <c r="AE38" i="13"/>
  <c r="AF38" i="13"/>
  <c r="AG38" i="13"/>
  <c r="AH38" i="13"/>
  <c r="AI38" i="13"/>
  <c r="AJ38" i="13"/>
  <c r="AK38" i="13"/>
  <c r="G38" i="13"/>
  <c r="G42" i="13" s="1"/>
  <c r="E42" i="13" s="1"/>
  <c r="AK46" i="13"/>
  <c r="AK37" i="13"/>
  <c r="AK36" i="13"/>
  <c r="AK39" i="13"/>
  <c r="AK40" i="13"/>
  <c r="AK41" i="13"/>
  <c r="AN51" i="9"/>
  <c r="AN52" i="9"/>
  <c r="AN50" i="9"/>
  <c r="AN47" i="9"/>
  <c r="H18" i="20"/>
  <c r="I18" i="20"/>
  <c r="J18" i="20"/>
  <c r="K18" i="20"/>
  <c r="L18" i="20"/>
  <c r="M18" i="20"/>
  <c r="N18" i="20"/>
  <c r="P18" i="20"/>
  <c r="Q18" i="20"/>
  <c r="R18" i="20"/>
  <c r="S18" i="20"/>
  <c r="U18" i="20"/>
  <c r="V18" i="20"/>
  <c r="W18" i="20"/>
  <c r="X18" i="20"/>
  <c r="Z18" i="20"/>
  <c r="AA18" i="20"/>
  <c r="AB18" i="20"/>
  <c r="AC18" i="20"/>
  <c r="AE18" i="20"/>
  <c r="AF18" i="20"/>
  <c r="AG18" i="20"/>
  <c r="AH18" i="20"/>
  <c r="AJ18" i="20"/>
  <c r="AK18" i="20"/>
  <c r="AL18" i="20"/>
  <c r="AM18" i="20"/>
  <c r="AN18" i="20"/>
  <c r="G18" i="20"/>
  <c r="E15" i="21"/>
  <c r="AD18" i="20" s="1"/>
  <c r="B14" i="21"/>
  <c r="F22" i="21" s="1"/>
  <c r="E13" i="12"/>
  <c r="F7" i="12"/>
  <c r="F8" i="12"/>
  <c r="F9" i="12"/>
  <c r="F10" i="12"/>
  <c r="F11" i="12"/>
  <c r="F12" i="12"/>
  <c r="F13" i="12"/>
  <c r="G12" i="12"/>
  <c r="G13" i="12"/>
  <c r="D13" i="12"/>
  <c r="AN17" i="20"/>
  <c r="F17" i="20" s="1"/>
  <c r="H37" i="13"/>
  <c r="I37" i="13"/>
  <c r="J37" i="13"/>
  <c r="K37" i="13"/>
  <c r="L37" i="13"/>
  <c r="M37" i="13"/>
  <c r="N37" i="13"/>
  <c r="O37" i="13"/>
  <c r="P37" i="13"/>
  <c r="Q37" i="13"/>
  <c r="R37" i="13"/>
  <c r="S37" i="13"/>
  <c r="T37" i="13"/>
  <c r="U37" i="13"/>
  <c r="V37" i="13"/>
  <c r="W37" i="13"/>
  <c r="X37" i="13"/>
  <c r="Y37" i="13"/>
  <c r="Z37" i="13"/>
  <c r="AA37" i="13"/>
  <c r="AB37" i="13"/>
  <c r="AC37" i="13"/>
  <c r="AD37" i="13"/>
  <c r="AE37" i="13"/>
  <c r="AF37" i="13"/>
  <c r="AG37" i="13"/>
  <c r="AH37" i="13"/>
  <c r="AI37" i="13"/>
  <c r="AJ37" i="13" s="1"/>
  <c r="H36" i="13"/>
  <c r="I36" i="13"/>
  <c r="J36" i="13"/>
  <c r="K36" i="13"/>
  <c r="L36" i="13"/>
  <c r="M36" i="13"/>
  <c r="N36" i="13"/>
  <c r="O36" i="13"/>
  <c r="P36" i="13"/>
  <c r="Q36" i="13"/>
  <c r="R36" i="13"/>
  <c r="S36" i="13"/>
  <c r="T36" i="13"/>
  <c r="U36" i="13"/>
  <c r="V36" i="13"/>
  <c r="W36" i="13"/>
  <c r="X36" i="13"/>
  <c r="Y36" i="13"/>
  <c r="Z36" i="13"/>
  <c r="AA36" i="13"/>
  <c r="AB36" i="13"/>
  <c r="AC36" i="13"/>
  <c r="AD36" i="13"/>
  <c r="AE36" i="13"/>
  <c r="AF36" i="13"/>
  <c r="AG36" i="13"/>
  <c r="AH36" i="13"/>
  <c r="AI36" i="13"/>
  <c r="AJ36" i="13" s="1"/>
  <c r="C42" i="13" l="1"/>
  <c r="D42" i="13"/>
  <c r="E38" i="13"/>
  <c r="D22" i="21"/>
  <c r="C22" i="21"/>
  <c r="E22" i="21"/>
  <c r="T18" i="20"/>
  <c r="AI18" i="20"/>
  <c r="Y18" i="20"/>
  <c r="O18" i="20"/>
  <c r="G22" i="21"/>
  <c r="B22" i="21"/>
  <c r="E17" i="20"/>
  <c r="D17" i="20"/>
  <c r="C17" i="20"/>
  <c r="AK43" i="13"/>
  <c r="AK45" i="13"/>
  <c r="AK52" i="13"/>
  <c r="AK42" i="13"/>
  <c r="AK51" i="13"/>
  <c r="AK50" i="13"/>
  <c r="AK49" i="13"/>
  <c r="AK44" i="13"/>
  <c r="AK47" i="13"/>
  <c r="AJ52" i="9"/>
  <c r="AK52" i="9" s="1"/>
  <c r="AL52" i="9" s="1"/>
  <c r="AM52" i="9" s="1"/>
  <c r="AI52" i="9"/>
  <c r="G52" i="9"/>
  <c r="H52" i="9"/>
  <c r="I52" i="9"/>
  <c r="J52" i="9"/>
  <c r="K52" i="9"/>
  <c r="L52" i="9"/>
  <c r="M52" i="9"/>
  <c r="N52" i="9"/>
  <c r="O52" i="9"/>
  <c r="P52" i="9"/>
  <c r="Q52" i="9"/>
  <c r="R52" i="9"/>
  <c r="S52" i="9"/>
  <c r="T52" i="9"/>
  <c r="U52" i="9"/>
  <c r="V52" i="9"/>
  <c r="W52" i="9"/>
  <c r="X52" i="9"/>
  <c r="Y52" i="9"/>
  <c r="Z52" i="9"/>
  <c r="AA52" i="9"/>
  <c r="AB52" i="9"/>
  <c r="AC52" i="9"/>
  <c r="AD52" i="9"/>
  <c r="AE52" i="9"/>
  <c r="AF52" i="9"/>
  <c r="AG52" i="9"/>
  <c r="AH52" i="9"/>
  <c r="F52" i="9"/>
  <c r="G41" i="13"/>
  <c r="AJ51" i="9"/>
  <c r="AK51" i="9" s="1"/>
  <c r="AL51" i="9" s="1"/>
  <c r="AM51" i="9" s="1"/>
  <c r="AI51" i="9"/>
  <c r="G51" i="9"/>
  <c r="H51" i="9"/>
  <c r="I51" i="9"/>
  <c r="J51" i="9"/>
  <c r="K51" i="9"/>
  <c r="L51" i="9"/>
  <c r="M51" i="9"/>
  <c r="N51" i="9"/>
  <c r="O51" i="9"/>
  <c r="P51" i="9"/>
  <c r="Q51" i="9"/>
  <c r="R51" i="9"/>
  <c r="S51" i="9"/>
  <c r="T51" i="9"/>
  <c r="U51" i="9"/>
  <c r="V51" i="9"/>
  <c r="W51" i="9"/>
  <c r="X51" i="9"/>
  <c r="Y51" i="9"/>
  <c r="Z51" i="9"/>
  <c r="AA51" i="9"/>
  <c r="AB51" i="9"/>
  <c r="AC51" i="9"/>
  <c r="AD51" i="9"/>
  <c r="AE51" i="9"/>
  <c r="AF51" i="9"/>
  <c r="AG51" i="9"/>
  <c r="AH51" i="9"/>
  <c r="F51" i="9"/>
  <c r="F40" i="13"/>
  <c r="AJ50" i="9"/>
  <c r="AK50" i="9" s="1"/>
  <c r="AL50" i="9" s="1"/>
  <c r="AM50" i="9" s="1"/>
  <c r="AI50" i="9"/>
  <c r="G50" i="9"/>
  <c r="H50" i="9"/>
  <c r="I50" i="9"/>
  <c r="J50" i="9"/>
  <c r="K50" i="9"/>
  <c r="L50" i="9"/>
  <c r="M50" i="9"/>
  <c r="N50" i="9"/>
  <c r="O50" i="9"/>
  <c r="P50" i="9"/>
  <c r="Q50" i="9"/>
  <c r="R50" i="9"/>
  <c r="S50" i="9"/>
  <c r="T50" i="9"/>
  <c r="U50" i="9"/>
  <c r="V50" i="9"/>
  <c r="W50" i="9"/>
  <c r="X50" i="9"/>
  <c r="Y50" i="9"/>
  <c r="Z50" i="9"/>
  <c r="AA50" i="9"/>
  <c r="AB50" i="9"/>
  <c r="AC50" i="9"/>
  <c r="AD50" i="9"/>
  <c r="AE50" i="9"/>
  <c r="AF50" i="9"/>
  <c r="AG50" i="9"/>
  <c r="AH50" i="9"/>
  <c r="F50" i="9"/>
  <c r="F39" i="13"/>
  <c r="C18" i="20" l="1"/>
  <c r="D42" i="17" s="1"/>
  <c r="E18" i="20"/>
  <c r="C42" i="17" s="1"/>
  <c r="F18" i="20"/>
  <c r="B51" i="17" s="1"/>
  <c r="D18" i="20"/>
  <c r="E51" i="17" s="1"/>
  <c r="C51" i="17"/>
  <c r="AL26" i="24"/>
  <c r="AL18" i="24"/>
  <c r="AL15" i="24"/>
  <c r="L24" i="20"/>
  <c r="M24" i="20"/>
  <c r="N24" i="20"/>
  <c r="O24" i="20"/>
  <c r="P24" i="20"/>
  <c r="Q24" i="20"/>
  <c r="R24" i="20"/>
  <c r="S24" i="20"/>
  <c r="T24" i="20"/>
  <c r="U24" i="20"/>
  <c r="V24" i="20"/>
  <c r="W24" i="20"/>
  <c r="X24" i="20"/>
  <c r="Y24" i="20"/>
  <c r="Z24" i="20"/>
  <c r="AA24" i="20"/>
  <c r="AB24" i="20"/>
  <c r="AC24" i="20"/>
  <c r="AD24" i="20"/>
  <c r="AE24" i="20"/>
  <c r="AF24" i="20"/>
  <c r="AG24" i="20"/>
  <c r="AH24" i="20"/>
  <c r="AI24" i="20"/>
  <c r="AJ24" i="20"/>
  <c r="AK24" i="20"/>
  <c r="AL24" i="20"/>
  <c r="AM24" i="20"/>
  <c r="AN24" i="20"/>
  <c r="D12" i="12"/>
  <c r="D8" i="12"/>
  <c r="D9" i="12"/>
  <c r="D10" i="12"/>
  <c r="D11" i="12"/>
  <c r="D7" i="12"/>
  <c r="AH15" i="6"/>
  <c r="F15" i="6"/>
  <c r="G15" i="6"/>
  <c r="H15" i="6"/>
  <c r="I15" i="6"/>
  <c r="J15" i="6"/>
  <c r="K15" i="6"/>
  <c r="L15" i="6"/>
  <c r="M15" i="6"/>
  <c r="N15" i="6"/>
  <c r="O15" i="6"/>
  <c r="P15" i="6"/>
  <c r="Q15" i="6"/>
  <c r="R15" i="6"/>
  <c r="S15" i="6"/>
  <c r="T15" i="6"/>
  <c r="U15" i="6"/>
  <c r="V15" i="6"/>
  <c r="W15" i="6"/>
  <c r="X15" i="6"/>
  <c r="Y15" i="6"/>
  <c r="Z15" i="6"/>
  <c r="AA15" i="6"/>
  <c r="AB15" i="6"/>
  <c r="AC15" i="6"/>
  <c r="AD15" i="6"/>
  <c r="AE15" i="6"/>
  <c r="AF15" i="6"/>
  <c r="AG15" i="6"/>
  <c r="AH14" i="6"/>
  <c r="F14" i="6"/>
  <c r="G14" i="6"/>
  <c r="H14" i="6"/>
  <c r="I14" i="6"/>
  <c r="J14" i="6"/>
  <c r="K14" i="6"/>
  <c r="L14" i="6"/>
  <c r="M14" i="6"/>
  <c r="N14" i="6"/>
  <c r="O14" i="6"/>
  <c r="P14" i="6"/>
  <c r="Q14" i="6"/>
  <c r="R14" i="6"/>
  <c r="S14" i="6"/>
  <c r="T14" i="6"/>
  <c r="U14" i="6"/>
  <c r="V14" i="6"/>
  <c r="W14" i="6"/>
  <c r="X14" i="6"/>
  <c r="Y14" i="6"/>
  <c r="Z14" i="6"/>
  <c r="AA14" i="6"/>
  <c r="AB14" i="6"/>
  <c r="AC14" i="6"/>
  <c r="AD14" i="6"/>
  <c r="AE14" i="6"/>
  <c r="AF14" i="6"/>
  <c r="AG14" i="6"/>
  <c r="AH13" i="6"/>
  <c r="F13" i="6"/>
  <c r="G13" i="6"/>
  <c r="H13" i="6"/>
  <c r="I13" i="6"/>
  <c r="J13" i="6"/>
  <c r="K13" i="6"/>
  <c r="L13" i="6"/>
  <c r="M13" i="6"/>
  <c r="N13" i="6"/>
  <c r="O13" i="6"/>
  <c r="P13" i="6"/>
  <c r="Q13" i="6"/>
  <c r="R13" i="6"/>
  <c r="S13" i="6"/>
  <c r="T13" i="6"/>
  <c r="U13" i="6"/>
  <c r="V13" i="6"/>
  <c r="W13" i="6"/>
  <c r="X13" i="6"/>
  <c r="Y13" i="6"/>
  <c r="Z13" i="6"/>
  <c r="AA13" i="6"/>
  <c r="AB13" i="6"/>
  <c r="AC13" i="6"/>
  <c r="AD13" i="6"/>
  <c r="AE13" i="6"/>
  <c r="AF13" i="6"/>
  <c r="AG13" i="6"/>
  <c r="P16" i="24"/>
  <c r="H16" i="24"/>
  <c r="AG15" i="24"/>
  <c r="Y15" i="24"/>
  <c r="Q15" i="24"/>
  <c r="I15" i="24"/>
  <c r="AC27" i="24"/>
  <c r="U27" i="24"/>
  <c r="T27" i="24"/>
  <c r="S27" i="24"/>
  <c r="K27" i="24"/>
  <c r="L26" i="24"/>
  <c r="AE25" i="24"/>
  <c r="AD25" i="24"/>
  <c r="W25" i="24"/>
  <c r="V25" i="24"/>
  <c r="U25" i="24"/>
  <c r="M25" i="24"/>
  <c r="AF24" i="24"/>
  <c r="AE24" i="24"/>
  <c r="X24" i="24"/>
  <c r="W24" i="24"/>
  <c r="V24" i="24"/>
  <c r="N24" i="24"/>
  <c r="Y23" i="24"/>
  <c r="O23" i="24"/>
  <c r="AH22" i="24"/>
  <c r="AG22" i="24"/>
  <c r="Z22" i="24"/>
  <c r="Y22" i="24"/>
  <c r="X22" i="24"/>
  <c r="P22" i="24"/>
  <c r="AA21" i="24"/>
  <c r="Z21" i="24"/>
  <c r="Q21" i="24"/>
  <c r="AJ20" i="24"/>
  <c r="AI20" i="24"/>
  <c r="AB20" i="24"/>
  <c r="AA20" i="24"/>
  <c r="Z20" i="24"/>
  <c r="R20" i="24"/>
  <c r="D20" i="24"/>
  <c r="AJ19" i="24"/>
  <c r="AC19" i="24"/>
  <c r="AB19" i="24"/>
  <c r="AA19" i="24"/>
  <c r="S19" i="24"/>
  <c r="E19" i="24"/>
  <c r="D19" i="24"/>
  <c r="AD18" i="24"/>
  <c r="AC18" i="24"/>
  <c r="AB18" i="24"/>
  <c r="T18" i="24"/>
  <c r="F18" i="24"/>
  <c r="E18" i="24"/>
  <c r="W17" i="24"/>
  <c r="V17" i="24"/>
  <c r="U17" i="24"/>
  <c r="T17" i="24"/>
  <c r="N17" i="24"/>
  <c r="M17" i="24"/>
  <c r="E17" i="24"/>
  <c r="U16" i="24"/>
  <c r="M16" i="24"/>
  <c r="AD15" i="24"/>
  <c r="N15" i="24"/>
  <c r="AG27" i="24"/>
  <c r="AF27" i="24"/>
  <c r="AE27" i="24"/>
  <c r="AD27" i="24"/>
  <c r="Y27" i="24"/>
  <c r="W27" i="24"/>
  <c r="Q27" i="24"/>
  <c r="P27" i="24"/>
  <c r="O27" i="24"/>
  <c r="I27" i="24"/>
  <c r="H27" i="24"/>
  <c r="G27" i="24"/>
  <c r="F27" i="24"/>
  <c r="AF26" i="24"/>
  <c r="AE26" i="24"/>
  <c r="Q26" i="24"/>
  <c r="P26" i="24"/>
  <c r="O26" i="24"/>
  <c r="J26" i="24"/>
  <c r="I26" i="24"/>
  <c r="H26" i="24"/>
  <c r="G26" i="24"/>
  <c r="AG25" i="24"/>
  <c r="AF25" i="24"/>
  <c r="Y25" i="24"/>
  <c r="R25" i="24"/>
  <c r="Q25" i="24"/>
  <c r="K25" i="24"/>
  <c r="J25" i="24"/>
  <c r="I25" i="24"/>
  <c r="H25" i="24"/>
  <c r="AH24" i="24"/>
  <c r="AG24" i="24"/>
  <c r="Y24" i="24"/>
  <c r="S24" i="24"/>
  <c r="R24" i="24"/>
  <c r="Q24" i="24"/>
  <c r="L24" i="24"/>
  <c r="K24" i="24"/>
  <c r="J24" i="24"/>
  <c r="I24" i="24"/>
  <c r="D24" i="24"/>
  <c r="AJ23" i="24"/>
  <c r="AI23" i="24"/>
  <c r="AH23" i="24"/>
  <c r="AA23" i="24"/>
  <c r="U23" i="24"/>
  <c r="T23" i="24"/>
  <c r="S23" i="24"/>
  <c r="M23" i="24"/>
  <c r="L23" i="24"/>
  <c r="K23" i="24"/>
  <c r="J23" i="24"/>
  <c r="E23" i="24"/>
  <c r="AJ22" i="24"/>
  <c r="AI22" i="24"/>
  <c r="AD22" i="24"/>
  <c r="AA22" i="24"/>
  <c r="V22" i="24"/>
  <c r="U22" i="24"/>
  <c r="T22" i="24"/>
  <c r="S22" i="24"/>
  <c r="N22" i="24"/>
  <c r="M22" i="24"/>
  <c r="L22" i="24"/>
  <c r="K22" i="24"/>
  <c r="F22" i="24"/>
  <c r="E22" i="24"/>
  <c r="D22" i="24"/>
  <c r="AJ21" i="24"/>
  <c r="AE21" i="24"/>
  <c r="AD21" i="24"/>
  <c r="AC21" i="24"/>
  <c r="W21" i="24"/>
  <c r="V21" i="24"/>
  <c r="U21" i="24"/>
  <c r="O21" i="24"/>
  <c r="N21" i="24"/>
  <c r="M21" i="24"/>
  <c r="L21" i="24"/>
  <c r="G21" i="24"/>
  <c r="E21" i="24"/>
  <c r="D21" i="24"/>
  <c r="AF20" i="24"/>
  <c r="AC20" i="24"/>
  <c r="X20" i="24"/>
  <c r="W20" i="24"/>
  <c r="V20" i="24"/>
  <c r="U20" i="24"/>
  <c r="P20" i="24"/>
  <c r="O20" i="24"/>
  <c r="N20" i="24"/>
  <c r="M20" i="24"/>
  <c r="H20" i="24"/>
  <c r="G20" i="24"/>
  <c r="F20" i="24"/>
  <c r="E20" i="24"/>
  <c r="AG19" i="24"/>
  <c r="AF19" i="24"/>
  <c r="AE19" i="24"/>
  <c r="AD19" i="24"/>
  <c r="Y19" i="24"/>
  <c r="X19" i="24"/>
  <c r="W19" i="24"/>
  <c r="Q19" i="24"/>
  <c r="P19" i="24"/>
  <c r="O19" i="24"/>
  <c r="N19" i="24"/>
  <c r="I19" i="24"/>
  <c r="G19" i="24"/>
  <c r="F19" i="24"/>
  <c r="AH18" i="24"/>
  <c r="AE18" i="24"/>
  <c r="Z18" i="24"/>
  <c r="Y18" i="24"/>
  <c r="X18" i="24"/>
  <c r="W18" i="24"/>
  <c r="R18" i="24"/>
  <c r="Q18" i="24"/>
  <c r="P18" i="24"/>
  <c r="O18" i="24"/>
  <c r="J18" i="24"/>
  <c r="I18" i="24"/>
  <c r="H18" i="24"/>
  <c r="G18" i="24"/>
  <c r="AA17" i="24"/>
  <c r="X17" i="24"/>
  <c r="S17" i="24"/>
  <c r="R17" i="24"/>
  <c r="Q17" i="24"/>
  <c r="P17" i="24"/>
  <c r="K17" i="24"/>
  <c r="J17" i="24"/>
  <c r="I17" i="24"/>
  <c r="AJ16" i="24"/>
  <c r="AI16" i="24"/>
  <c r="AH16" i="24"/>
  <c r="AG16" i="24"/>
  <c r="AB16" i="24"/>
  <c r="AA16" i="24"/>
  <c r="Z16" i="24"/>
  <c r="Y16" i="24"/>
  <c r="T16" i="24"/>
  <c r="S16" i="24"/>
  <c r="R16" i="24"/>
  <c r="Q16" i="24"/>
  <c r="K16" i="24"/>
  <c r="J16" i="24"/>
  <c r="I16" i="24"/>
  <c r="D16" i="24"/>
  <c r="AJ15" i="24"/>
  <c r="AI15" i="24"/>
  <c r="AH15" i="24"/>
  <c r="AB15" i="24"/>
  <c r="AA15" i="24"/>
  <c r="Z15" i="24"/>
  <c r="U15" i="24"/>
  <c r="T15" i="24"/>
  <c r="S15" i="24"/>
  <c r="R15" i="24"/>
  <c r="L15" i="24"/>
  <c r="K15" i="24"/>
  <c r="J15" i="24"/>
  <c r="E15" i="24"/>
  <c r="D15" i="24"/>
  <c r="AJ27" i="24"/>
  <c r="AI27" i="24"/>
  <c r="AB27" i="24"/>
  <c r="AA27" i="24"/>
  <c r="X27" i="24"/>
  <c r="V27" i="24"/>
  <c r="N27" i="24"/>
  <c r="M27" i="24"/>
  <c r="L27" i="24"/>
  <c r="E27" i="24"/>
  <c r="D27" i="24"/>
  <c r="AJ26" i="24"/>
  <c r="AG26" i="24"/>
  <c r="AB26" i="24"/>
  <c r="Y26" i="24"/>
  <c r="X26" i="24"/>
  <c r="N26" i="24"/>
  <c r="M26" i="24"/>
  <c r="F26" i="24"/>
  <c r="E26" i="24"/>
  <c r="D26" i="24"/>
  <c r="AH25" i="24"/>
  <c r="AC25" i="24"/>
  <c r="Z25" i="24"/>
  <c r="X25" i="24"/>
  <c r="P25" i="24"/>
  <c r="O25" i="24"/>
  <c r="N25" i="24"/>
  <c r="G25" i="24"/>
  <c r="F25" i="24"/>
  <c r="E25" i="24"/>
  <c r="AI24" i="24"/>
  <c r="AD24" i="24"/>
  <c r="AA24" i="24"/>
  <c r="Z24" i="24"/>
  <c r="P24" i="24"/>
  <c r="O24" i="24"/>
  <c r="H24" i="24"/>
  <c r="G24" i="24"/>
  <c r="F24" i="24"/>
  <c r="AE23" i="24"/>
  <c r="AB23" i="24"/>
  <c r="Z23" i="24"/>
  <c r="R23" i="24"/>
  <c r="Q23" i="24"/>
  <c r="P23" i="24"/>
  <c r="I23" i="24"/>
  <c r="H23" i="24"/>
  <c r="G23" i="24"/>
  <c r="D23" i="24"/>
  <c r="AF22" i="24"/>
  <c r="AC22" i="24"/>
  <c r="AB22" i="24"/>
  <c r="R22" i="24"/>
  <c r="Q22" i="24"/>
  <c r="J22" i="24"/>
  <c r="I22" i="24"/>
  <c r="H22" i="24"/>
  <c r="AG21" i="24"/>
  <c r="AB21" i="24"/>
  <c r="T21" i="24"/>
  <c r="S21" i="24"/>
  <c r="R21" i="24"/>
  <c r="K21" i="24"/>
  <c r="J21" i="24"/>
  <c r="I21" i="24"/>
  <c r="F21" i="24"/>
  <c r="AH20" i="24"/>
  <c r="AE20" i="24"/>
  <c r="AD20" i="24"/>
  <c r="T20" i="24"/>
  <c r="S20" i="24"/>
  <c r="L20" i="24"/>
  <c r="K20" i="24"/>
  <c r="J20" i="24"/>
  <c r="AI19" i="24"/>
  <c r="V19" i="24"/>
  <c r="U19" i="24"/>
  <c r="T19" i="24"/>
  <c r="M19" i="24"/>
  <c r="L19" i="24"/>
  <c r="K19" i="24"/>
  <c r="H19" i="24"/>
  <c r="AJ18" i="24"/>
  <c r="AG18" i="24"/>
  <c r="AF18" i="24"/>
  <c r="V18" i="24"/>
  <c r="U18" i="24"/>
  <c r="N18" i="24"/>
  <c r="M18" i="24"/>
  <c r="L18" i="24"/>
  <c r="D18" i="24"/>
  <c r="AB17" i="24"/>
  <c r="Z17" i="24"/>
  <c r="Y17" i="24"/>
  <c r="O17" i="24"/>
  <c r="H17" i="24"/>
  <c r="G17" i="24"/>
  <c r="F17" i="24"/>
  <c r="AF16" i="24"/>
  <c r="AE16" i="24"/>
  <c r="AD16" i="24"/>
  <c r="X16" i="24"/>
  <c r="W16" i="24"/>
  <c r="V16" i="24"/>
  <c r="O16" i="24"/>
  <c r="N16" i="24"/>
  <c r="L16" i="24"/>
  <c r="G16" i="24"/>
  <c r="F16" i="24"/>
  <c r="E16" i="24"/>
  <c r="AF15" i="24"/>
  <c r="AE15" i="24"/>
  <c r="AC15" i="24"/>
  <c r="X15" i="24"/>
  <c r="W15" i="24"/>
  <c r="V15" i="24"/>
  <c r="P15" i="24"/>
  <c r="O15" i="24"/>
  <c r="M15" i="24"/>
  <c r="H15" i="24"/>
  <c r="G15" i="24"/>
  <c r="F15" i="24"/>
  <c r="B42" i="17" l="1"/>
  <c r="D51" i="17"/>
  <c r="E42" i="17"/>
  <c r="C24" i="20"/>
  <c r="D24" i="20"/>
  <c r="E24" i="20"/>
  <c r="AH17" i="24"/>
  <c r="AG17" i="24"/>
  <c r="AJ17" i="24"/>
  <c r="Y21" i="24"/>
  <c r="W23" i="24"/>
  <c r="T26" i="24"/>
  <c r="AH21" i="24"/>
  <c r="X23" i="24"/>
  <c r="AF23" i="24"/>
  <c r="U26" i="24"/>
  <c r="AC26" i="24"/>
  <c r="AC17" i="24"/>
  <c r="AC16" i="24"/>
  <c r="D17" i="24"/>
  <c r="L17" i="24"/>
  <c r="AE17" i="24"/>
  <c r="AI21" i="24"/>
  <c r="AG23" i="24"/>
  <c r="V26" i="24"/>
  <c r="AD26" i="24"/>
  <c r="AI17" i="24"/>
  <c r="W26" i="24"/>
  <c r="AF17" i="24"/>
  <c r="AB24" i="24"/>
  <c r="AI25" i="24"/>
  <c r="AH26" i="24"/>
  <c r="AA18" i="24"/>
  <c r="Z19" i="24"/>
  <c r="Y20" i="24"/>
  <c r="AF21" i="24"/>
  <c r="AE22" i="24"/>
  <c r="AD23" i="24"/>
  <c r="AC24" i="24"/>
  <c r="AB25" i="24"/>
  <c r="AA26" i="24"/>
  <c r="R27" i="24"/>
  <c r="T24" i="24"/>
  <c r="AA25" i="24"/>
  <c r="R26" i="24"/>
  <c r="K18" i="24"/>
  <c r="J19" i="24"/>
  <c r="I20" i="24"/>
  <c r="H21" i="24"/>
  <c r="G22" i="24"/>
  <c r="N23" i="24"/>
  <c r="M24" i="24"/>
  <c r="L25" i="24"/>
  <c r="K26" i="24"/>
  <c r="AH27" i="24"/>
  <c r="S25" i="24"/>
  <c r="Z26" i="24"/>
  <c r="S18" i="24"/>
  <c r="R19" i="24"/>
  <c r="Q20" i="24"/>
  <c r="P21" i="24"/>
  <c r="O22" i="24"/>
  <c r="F23" i="24"/>
  <c r="E24" i="24"/>
  <c r="D25" i="24"/>
  <c r="AJ25" i="24"/>
  <c r="AI26" i="24"/>
  <c r="Z27" i="24"/>
  <c r="AC23" i="24"/>
  <c r="AJ24" i="24"/>
  <c r="AI18" i="24"/>
  <c r="AH19" i="24"/>
  <c r="AG20" i="24"/>
  <c r="X21" i="24"/>
  <c r="W22" i="24"/>
  <c r="V23" i="24"/>
  <c r="U24" i="24"/>
  <c r="T25" i="24"/>
  <c r="S26" i="24"/>
  <c r="J27" i="24"/>
  <c r="AD17" i="24" l="1"/>
  <c r="H16" i="23" l="1"/>
  <c r="C12" i="12"/>
  <c r="H19" i="23"/>
  <c r="M22" i="20"/>
  <c r="H22" i="20"/>
  <c r="I22" i="20"/>
  <c r="J22" i="20"/>
  <c r="K22" i="20"/>
  <c r="L22" i="20"/>
  <c r="G22" i="20"/>
  <c r="C24" i="21"/>
  <c r="H18" i="23"/>
  <c r="H17" i="23"/>
  <c r="B16" i="23"/>
  <c r="B17" i="23" s="1"/>
  <c r="B18" i="23" s="1"/>
  <c r="B19" i="23" s="1"/>
  <c r="B15" i="23"/>
  <c r="C11" i="23"/>
  <c r="C12" i="23" s="1"/>
  <c r="C13" i="23" s="1"/>
  <c r="C14" i="23" s="1"/>
  <c r="C15" i="23" s="1"/>
  <c r="C16" i="23" s="1"/>
  <c r="C17" i="23" s="1"/>
  <c r="C18" i="23" s="1"/>
  <c r="C19" i="23" s="1"/>
  <c r="D10" i="23"/>
  <c r="D9" i="23"/>
  <c r="D8" i="23"/>
  <c r="A8" i="23"/>
  <c r="A9" i="23" s="1"/>
  <c r="A10" i="23" s="1"/>
  <c r="A11" i="23" s="1"/>
  <c r="A12" i="23" s="1"/>
  <c r="A13" i="23" s="1"/>
  <c r="A14" i="23" s="1"/>
  <c r="A15" i="23" s="1"/>
  <c r="A16" i="23" s="1"/>
  <c r="A17" i="23" s="1"/>
  <c r="A18" i="23" s="1"/>
  <c r="A19" i="23" s="1"/>
  <c r="D7" i="23"/>
  <c r="E3" i="23"/>
  <c r="E6" i="23" s="1"/>
  <c r="D30" i="9"/>
  <c r="D29" i="9"/>
  <c r="D28" i="9"/>
  <c r="D27" i="9"/>
  <c r="A8" i="6"/>
  <c r="A7" i="6"/>
  <c r="A6" i="6"/>
  <c r="B54" i="9"/>
  <c r="B53" i="9"/>
  <c r="C22" i="20" l="1"/>
  <c r="E22" i="20"/>
  <c r="D22" i="20"/>
  <c r="F6" i="23"/>
  <c r="E7" i="23"/>
  <c r="G40" i="13"/>
  <c r="H40" i="13"/>
  <c r="I40" i="13"/>
  <c r="J40" i="13"/>
  <c r="K40" i="13"/>
  <c r="L40" i="13"/>
  <c r="M40" i="13"/>
  <c r="N40" i="13"/>
  <c r="O40" i="13"/>
  <c r="P40" i="13"/>
  <c r="Q40" i="13"/>
  <c r="R40" i="13"/>
  <c r="S40" i="13"/>
  <c r="T40" i="13"/>
  <c r="U40" i="13"/>
  <c r="V40" i="13"/>
  <c r="W40" i="13"/>
  <c r="X40" i="13"/>
  <c r="Y40" i="13"/>
  <c r="Z40" i="13"/>
  <c r="AA40" i="13"/>
  <c r="AB40" i="13"/>
  <c r="AC40" i="13"/>
  <c r="AD40" i="13"/>
  <c r="AE40" i="13"/>
  <c r="AF40" i="13" s="1"/>
  <c r="AG40" i="13" s="1"/>
  <c r="AH40" i="13" s="1"/>
  <c r="AI40" i="13" s="1"/>
  <c r="AJ40" i="13" s="1"/>
  <c r="H41" i="13"/>
  <c r="I41" i="13"/>
  <c r="J41" i="13"/>
  <c r="K41" i="13"/>
  <c r="L41" i="13"/>
  <c r="M41" i="13"/>
  <c r="N41" i="13"/>
  <c r="O41" i="13"/>
  <c r="P41" i="13"/>
  <c r="Q41" i="13"/>
  <c r="R41" i="13"/>
  <c r="S41" i="13"/>
  <c r="T41" i="13"/>
  <c r="U41" i="13"/>
  <c r="V41" i="13"/>
  <c r="W41" i="13"/>
  <c r="X41" i="13"/>
  <c r="Y41" i="13"/>
  <c r="Z41" i="13"/>
  <c r="AA41" i="13"/>
  <c r="AB41" i="13"/>
  <c r="AC41" i="13"/>
  <c r="AD41" i="13"/>
  <c r="AE41" i="13"/>
  <c r="AF41" i="13" s="1"/>
  <c r="AG41" i="13" s="1"/>
  <c r="AH41" i="13" s="1"/>
  <c r="AI41" i="13" s="1"/>
  <c r="AJ41" i="13" s="1"/>
  <c r="F41" i="13"/>
  <c r="G39" i="13"/>
  <c r="H39" i="13"/>
  <c r="I39" i="13"/>
  <c r="J39" i="13"/>
  <c r="K39" i="13"/>
  <c r="L39" i="13"/>
  <c r="M39" i="13"/>
  <c r="N39" i="13"/>
  <c r="O39" i="13"/>
  <c r="P39" i="13"/>
  <c r="Q39" i="13"/>
  <c r="R39" i="13"/>
  <c r="S39" i="13"/>
  <c r="T39" i="13"/>
  <c r="U39" i="13"/>
  <c r="V39" i="13"/>
  <c r="W39" i="13"/>
  <c r="X39" i="13"/>
  <c r="Y39" i="13"/>
  <c r="Z39" i="13"/>
  <c r="AA39" i="13"/>
  <c r="AB39" i="13"/>
  <c r="AC39" i="13"/>
  <c r="AD39" i="13"/>
  <c r="AE39" i="13"/>
  <c r="AF39" i="13" s="1"/>
  <c r="AG39" i="13" s="1"/>
  <c r="AH39" i="13" s="1"/>
  <c r="AI39" i="13" s="1"/>
  <c r="AJ39" i="13" s="1"/>
  <c r="R9" i="14"/>
  <c r="C15" i="14"/>
  <c r="J18" i="6"/>
  <c r="K18" i="6"/>
  <c r="L18" i="6"/>
  <c r="M18" i="6"/>
  <c r="N18" i="6"/>
  <c r="O18" i="6"/>
  <c r="P18" i="6"/>
  <c r="Q18" i="6"/>
  <c r="R18" i="6"/>
  <c r="S18" i="6"/>
  <c r="T18" i="6"/>
  <c r="U18" i="6"/>
  <c r="V18" i="6"/>
  <c r="W18" i="6"/>
  <c r="X18" i="6"/>
  <c r="Y18" i="6"/>
  <c r="Z18" i="6"/>
  <c r="AA18" i="6"/>
  <c r="AB18" i="6"/>
  <c r="AC18" i="6"/>
  <c r="AD18" i="6" s="1"/>
  <c r="AE18" i="6" s="1"/>
  <c r="AF18" i="6" s="1"/>
  <c r="AG18" i="6" s="1"/>
  <c r="AH18" i="6" s="1"/>
  <c r="E18" i="6"/>
  <c r="F18" i="6"/>
  <c r="G18" i="6"/>
  <c r="H18" i="6"/>
  <c r="I18" i="6"/>
  <c r="D18" i="6"/>
  <c r="E17" i="6"/>
  <c r="F17" i="6"/>
  <c r="G17" i="6"/>
  <c r="H17" i="6"/>
  <c r="I17" i="6"/>
  <c r="J17" i="6"/>
  <c r="K17" i="6"/>
  <c r="L17" i="6"/>
  <c r="M17" i="6"/>
  <c r="N17" i="6"/>
  <c r="O17" i="6"/>
  <c r="P17" i="6"/>
  <c r="Q17" i="6"/>
  <c r="R17" i="6"/>
  <c r="S17" i="6"/>
  <c r="T17" i="6"/>
  <c r="U17" i="6"/>
  <c r="V17" i="6"/>
  <c r="W17" i="6"/>
  <c r="X17" i="6"/>
  <c r="Y17" i="6"/>
  <c r="Z17" i="6"/>
  <c r="AA17" i="6"/>
  <c r="AB17" i="6"/>
  <c r="AC17" i="6"/>
  <c r="AD17" i="6" s="1"/>
  <c r="AE17" i="6" s="1"/>
  <c r="AF17" i="6" s="1"/>
  <c r="AG17" i="6" s="1"/>
  <c r="AH17" i="6" s="1"/>
  <c r="D17" i="6"/>
  <c r="D16" i="6"/>
  <c r="E16" i="6"/>
  <c r="F16" i="6"/>
  <c r="G16" i="6"/>
  <c r="H16" i="6"/>
  <c r="I16" i="6"/>
  <c r="J16" i="6"/>
  <c r="K16" i="6"/>
  <c r="L16" i="6"/>
  <c r="M16" i="6"/>
  <c r="N16" i="6"/>
  <c r="O16" i="6"/>
  <c r="P16" i="6"/>
  <c r="Q16" i="6"/>
  <c r="R16" i="6"/>
  <c r="S16" i="6"/>
  <c r="T16" i="6"/>
  <c r="U16" i="6"/>
  <c r="V16" i="6"/>
  <c r="W16" i="6"/>
  <c r="X16" i="6"/>
  <c r="Y16" i="6"/>
  <c r="Z16" i="6"/>
  <c r="AA16" i="6"/>
  <c r="AB16" i="6"/>
  <c r="AC16" i="6"/>
  <c r="AD16" i="6" s="1"/>
  <c r="AE16" i="6" s="1"/>
  <c r="AF16" i="6" s="1"/>
  <c r="AG16" i="6" s="1"/>
  <c r="AH16" i="6" s="1"/>
  <c r="E8" i="23" l="1"/>
  <c r="F7" i="23"/>
  <c r="C74" i="17"/>
  <c r="C71" i="17"/>
  <c r="Y11" i="6"/>
  <c r="Z11" i="6"/>
  <c r="AA11" i="6"/>
  <c r="AB11" i="6"/>
  <c r="AC11" i="6"/>
  <c r="AD11" i="6"/>
  <c r="AE11" i="6"/>
  <c r="AF11" i="6"/>
  <c r="AG11" i="6"/>
  <c r="AH11" i="6"/>
  <c r="G11" i="6"/>
  <c r="H11" i="6"/>
  <c r="I11" i="6"/>
  <c r="J11" i="6"/>
  <c r="K11" i="6"/>
  <c r="L11" i="6"/>
  <c r="M11" i="6"/>
  <c r="N11" i="6"/>
  <c r="O11" i="6"/>
  <c r="P11" i="6"/>
  <c r="Q11" i="6"/>
  <c r="R11" i="6"/>
  <c r="S11" i="6"/>
  <c r="T11" i="6"/>
  <c r="U11" i="6"/>
  <c r="V11" i="6"/>
  <c r="W11" i="6"/>
  <c r="X11" i="6"/>
  <c r="F11" i="6"/>
  <c r="K47" i="9"/>
  <c r="L47" i="9" s="1"/>
  <c r="M47" i="9" s="1"/>
  <c r="N47" i="9" s="1"/>
  <c r="O47" i="9" s="1"/>
  <c r="P47" i="9" s="1"/>
  <c r="Q47" i="9" s="1"/>
  <c r="R47" i="9" s="1"/>
  <c r="S47" i="9" s="1"/>
  <c r="T47" i="9" s="1"/>
  <c r="U47" i="9" s="1"/>
  <c r="V47" i="9" s="1"/>
  <c r="W47" i="9" s="1"/>
  <c r="X47" i="9" s="1"/>
  <c r="Y47" i="9" s="1"/>
  <c r="Z47" i="9" s="1"/>
  <c r="AA47" i="9" s="1"/>
  <c r="AB47" i="9" s="1"/>
  <c r="AC47" i="9" s="1"/>
  <c r="AD47" i="9" s="1"/>
  <c r="AE47" i="9" s="1"/>
  <c r="AF47" i="9" s="1"/>
  <c r="AG47" i="9" s="1"/>
  <c r="AH47" i="9" s="1"/>
  <c r="AI47" i="9" s="1"/>
  <c r="AJ47" i="9" s="1"/>
  <c r="AK47" i="9" s="1"/>
  <c r="AL47" i="9" s="1"/>
  <c r="AM47" i="9" s="1"/>
  <c r="L1" i="20"/>
  <c r="M1" i="20" s="1"/>
  <c r="N1" i="20" s="1"/>
  <c r="O1" i="20" s="1"/>
  <c r="P1" i="20" s="1"/>
  <c r="Q1" i="20" s="1"/>
  <c r="R1" i="20" s="1"/>
  <c r="S1" i="20" s="1"/>
  <c r="T1" i="20" s="1"/>
  <c r="U1" i="20" s="1"/>
  <c r="V1" i="20" s="1"/>
  <c r="W1" i="20" s="1"/>
  <c r="X1" i="20" s="1"/>
  <c r="Y1" i="20" s="1"/>
  <c r="Z1" i="20" s="1"/>
  <c r="AA1" i="20" s="1"/>
  <c r="AB1" i="20" s="1"/>
  <c r="AC1" i="20" s="1"/>
  <c r="AD1" i="20" s="1"/>
  <c r="AE1" i="20" s="1"/>
  <c r="AF1" i="20" s="1"/>
  <c r="AG1" i="20" s="1"/>
  <c r="AH1" i="20" s="1"/>
  <c r="AI1" i="20" s="1"/>
  <c r="AJ1" i="20" s="1"/>
  <c r="AK1" i="20" s="1"/>
  <c r="AL1" i="20" s="1"/>
  <c r="AM1" i="20" s="1"/>
  <c r="AN1" i="20" s="1"/>
  <c r="L1" i="2"/>
  <c r="M1" i="2" s="1"/>
  <c r="N1" i="2" s="1"/>
  <c r="O1" i="2" s="1"/>
  <c r="P1" i="2" s="1"/>
  <c r="Q1" i="2" s="1"/>
  <c r="R1" i="2" s="1"/>
  <c r="S1" i="2" s="1"/>
  <c r="T1" i="2" s="1"/>
  <c r="U1" i="2" s="1"/>
  <c r="V1" i="2" s="1"/>
  <c r="W1" i="2" s="1"/>
  <c r="X1" i="2" s="1"/>
  <c r="Y1" i="2" s="1"/>
  <c r="Z1" i="2" s="1"/>
  <c r="AA1" i="2" s="1"/>
  <c r="AB1" i="2" s="1"/>
  <c r="AC1" i="2" s="1"/>
  <c r="AD1" i="2" s="1"/>
  <c r="AE1" i="2" s="1"/>
  <c r="AF1" i="2" s="1"/>
  <c r="AG1" i="2" s="1"/>
  <c r="AH1" i="2" s="1"/>
  <c r="AI1" i="2" s="1"/>
  <c r="AJ1" i="2" s="1"/>
  <c r="AK1" i="2" s="1"/>
  <c r="AL1" i="2" s="1"/>
  <c r="AM1" i="2" s="1"/>
  <c r="AN1" i="2" s="1"/>
  <c r="B59" i="9"/>
  <c r="B35" i="21"/>
  <c r="B36" i="21"/>
  <c r="B34" i="21"/>
  <c r="F24" i="21"/>
  <c r="G24" i="21"/>
  <c r="B24" i="21"/>
  <c r="B38" i="9"/>
  <c r="F8" i="23" l="1"/>
  <c r="E9" i="23"/>
  <c r="D19" i="6"/>
  <c r="D20" i="6"/>
  <c r="C73" i="17"/>
  <c r="D21" i="6"/>
  <c r="H59" i="9"/>
  <c r="I10" i="20" s="1"/>
  <c r="F20" i="2"/>
  <c r="K20" i="2"/>
  <c r="J20" i="2"/>
  <c r="D24" i="21"/>
  <c r="E24" i="21"/>
  <c r="B37" i="21"/>
  <c r="C35" i="21" s="1"/>
  <c r="F59" i="9"/>
  <c r="G10" i="20" s="1"/>
  <c r="G59" i="9"/>
  <c r="H10" i="20" s="1"/>
  <c r="AC16" i="14"/>
  <c r="D22" i="9" s="1"/>
  <c r="AC6" i="14"/>
  <c r="AC7" i="14"/>
  <c r="AC8" i="14"/>
  <c r="AC9" i="14"/>
  <c r="AC10" i="14"/>
  <c r="AC11" i="14"/>
  <c r="AC12" i="14"/>
  <c r="AC13" i="14"/>
  <c r="AC14" i="14"/>
  <c r="AC5" i="14"/>
  <c r="B28" i="13"/>
  <c r="C28" i="13"/>
  <c r="B55" i="9"/>
  <c r="B57" i="9"/>
  <c r="B58" i="9"/>
  <c r="C36" i="21" l="1"/>
  <c r="E10" i="23"/>
  <c r="F9" i="23"/>
  <c r="D28" i="13"/>
  <c r="L45" i="13"/>
  <c r="X45" i="13"/>
  <c r="AJ45" i="13"/>
  <c r="AF45" i="13"/>
  <c r="J45" i="13"/>
  <c r="M45" i="13"/>
  <c r="Y45" i="13"/>
  <c r="H45" i="13"/>
  <c r="P45" i="13"/>
  <c r="N45" i="13"/>
  <c r="Z45" i="13"/>
  <c r="AB45" i="13"/>
  <c r="I45" i="13"/>
  <c r="O45" i="13"/>
  <c r="AA45" i="13"/>
  <c r="R45" i="13"/>
  <c r="S45" i="13"/>
  <c r="U45" i="13"/>
  <c r="V45" i="13"/>
  <c r="K45" i="13"/>
  <c r="Q45" i="13"/>
  <c r="AC45" i="13"/>
  <c r="AD45" i="13"/>
  <c r="F45" i="13"/>
  <c r="J14" i="20" s="1"/>
  <c r="G45" i="13"/>
  <c r="AG45" i="13"/>
  <c r="AI45" i="13"/>
  <c r="W45" i="13"/>
  <c r="AE45" i="13"/>
  <c r="T45" i="13"/>
  <c r="AH45" i="13"/>
  <c r="I46" i="13"/>
  <c r="U46" i="13"/>
  <c r="AG46" i="13"/>
  <c r="O46" i="13"/>
  <c r="R46" i="13"/>
  <c r="T46" i="13"/>
  <c r="J46" i="13"/>
  <c r="V46" i="13"/>
  <c r="AH46" i="13"/>
  <c r="H46" i="13"/>
  <c r="AB46" i="13"/>
  <c r="AC46" i="13"/>
  <c r="S46" i="13"/>
  <c r="AF46" i="13"/>
  <c r="K46" i="13"/>
  <c r="W46" i="13"/>
  <c r="AI46" i="13"/>
  <c r="AA46" i="13"/>
  <c r="L46" i="13"/>
  <c r="X46" i="13"/>
  <c r="AJ46" i="13"/>
  <c r="M46" i="13"/>
  <c r="Y46" i="13"/>
  <c r="G46" i="13"/>
  <c r="Q46" i="13"/>
  <c r="N46" i="13"/>
  <c r="Z46" i="13"/>
  <c r="F46" i="13"/>
  <c r="P46" i="13"/>
  <c r="AD46" i="13"/>
  <c r="AE46" i="13"/>
  <c r="D22" i="6"/>
  <c r="I9" i="2"/>
  <c r="C34" i="21"/>
  <c r="K47" i="13"/>
  <c r="O16" i="20" s="1"/>
  <c r="F47" i="13"/>
  <c r="J16" i="20" s="1"/>
  <c r="G20" i="2"/>
  <c r="I20" i="2"/>
  <c r="H20" i="2"/>
  <c r="X47" i="13"/>
  <c r="AB16" i="20" s="1"/>
  <c r="G47" i="13"/>
  <c r="Y47" i="13"/>
  <c r="AC16" i="20" s="1"/>
  <c r="Q47" i="13"/>
  <c r="U16" i="20" s="1"/>
  <c r="I47" i="13"/>
  <c r="M16" i="20" s="1"/>
  <c r="W47" i="13"/>
  <c r="AA16" i="20" s="1"/>
  <c r="R47" i="13"/>
  <c r="V16" i="20" s="1"/>
  <c r="AF47" i="13"/>
  <c r="AJ16" i="20" s="1"/>
  <c r="P47" i="13"/>
  <c r="T16" i="20" s="1"/>
  <c r="AH47" i="13"/>
  <c r="AL16" i="20" s="1"/>
  <c r="AG47" i="13"/>
  <c r="AK16" i="20" s="1"/>
  <c r="AE47" i="13"/>
  <c r="AI16" i="20" s="1"/>
  <c r="O47" i="13"/>
  <c r="S16" i="20" s="1"/>
  <c r="F58" i="9"/>
  <c r="G9" i="20" s="1"/>
  <c r="G9" i="2"/>
  <c r="H9" i="2"/>
  <c r="G58" i="9"/>
  <c r="H58" i="9"/>
  <c r="G55" i="9"/>
  <c r="F55" i="9"/>
  <c r="G6" i="20" s="1"/>
  <c r="H55" i="9"/>
  <c r="F57" i="9"/>
  <c r="G8" i="20" s="1"/>
  <c r="H57" i="9"/>
  <c r="G57" i="9"/>
  <c r="AD47" i="13"/>
  <c r="AH16" i="20" s="1"/>
  <c r="V47" i="13"/>
  <c r="Z16" i="20" s="1"/>
  <c r="N47" i="13"/>
  <c r="R16" i="20" s="1"/>
  <c r="AC47" i="13"/>
  <c r="AG16" i="20" s="1"/>
  <c r="U47" i="13"/>
  <c r="Y16" i="20" s="1"/>
  <c r="M47" i="13"/>
  <c r="Q16" i="20" s="1"/>
  <c r="H47" i="13"/>
  <c r="L16" i="20" s="1"/>
  <c r="AJ47" i="13"/>
  <c r="AN16" i="20" s="1"/>
  <c r="AB47" i="13"/>
  <c r="AF16" i="20" s="1"/>
  <c r="T47" i="13"/>
  <c r="X16" i="20" s="1"/>
  <c r="L47" i="13"/>
  <c r="P16" i="20" s="1"/>
  <c r="AI47" i="13"/>
  <c r="AM16" i="20" s="1"/>
  <c r="AA47" i="13"/>
  <c r="AE16" i="20" s="1"/>
  <c r="S47" i="13"/>
  <c r="W16" i="20" s="1"/>
  <c r="B22" i="9"/>
  <c r="C22" i="9"/>
  <c r="E45" i="13" l="1"/>
  <c r="C45" i="13"/>
  <c r="D45" i="13"/>
  <c r="K15" i="20"/>
  <c r="E46" i="13"/>
  <c r="C46" i="13"/>
  <c r="D46" i="13"/>
  <c r="K16" i="20"/>
  <c r="D47" i="13"/>
  <c r="E47" i="13"/>
  <c r="C47" i="13"/>
  <c r="I21" i="2"/>
  <c r="J23" i="20"/>
  <c r="E11" i="23"/>
  <c r="F10" i="23"/>
  <c r="K14" i="2"/>
  <c r="J47" i="13"/>
  <c r="N16" i="20" s="1"/>
  <c r="Z47" i="13"/>
  <c r="AD16" i="20" s="1"/>
  <c r="J13" i="2"/>
  <c r="T15" i="20"/>
  <c r="T14" i="2"/>
  <c r="AB15" i="20"/>
  <c r="AB14" i="2"/>
  <c r="AJ15" i="20"/>
  <c r="AJ14" i="2"/>
  <c r="M15" i="20"/>
  <c r="M14" i="2"/>
  <c r="U15" i="20"/>
  <c r="U14" i="2"/>
  <c r="AC15" i="20"/>
  <c r="AC14" i="2"/>
  <c r="AK15" i="20"/>
  <c r="AK14" i="2"/>
  <c r="N15" i="20"/>
  <c r="N14" i="2"/>
  <c r="V15" i="20"/>
  <c r="V14" i="2"/>
  <c r="AD15" i="20"/>
  <c r="AD14" i="2"/>
  <c r="AL15" i="20"/>
  <c r="AL14" i="2"/>
  <c r="O15" i="20"/>
  <c r="O14" i="2"/>
  <c r="W15" i="20"/>
  <c r="W14" i="2"/>
  <c r="AE15" i="20"/>
  <c r="AE14" i="2"/>
  <c r="AM15" i="20"/>
  <c r="AM14" i="2"/>
  <c r="Q15" i="20"/>
  <c r="Q14" i="2"/>
  <c r="Y15" i="20"/>
  <c r="Y14" i="2"/>
  <c r="AG15" i="20"/>
  <c r="AG14" i="2"/>
  <c r="AF15" i="20"/>
  <c r="AF14" i="2"/>
  <c r="AH15" i="20"/>
  <c r="AH14" i="2"/>
  <c r="P15" i="20"/>
  <c r="P14" i="2"/>
  <c r="AI15" i="20"/>
  <c r="AI14" i="2"/>
  <c r="R15" i="20"/>
  <c r="R14" i="2"/>
  <c r="AN15" i="20"/>
  <c r="AN14" i="2"/>
  <c r="S15" i="20"/>
  <c r="S14" i="2"/>
  <c r="X15" i="20"/>
  <c r="X14" i="2"/>
  <c r="AJ14" i="20"/>
  <c r="AJ13" i="2"/>
  <c r="T14" i="20"/>
  <c r="T13" i="2"/>
  <c r="AI14" i="20"/>
  <c r="AI13" i="2"/>
  <c r="S14" i="20"/>
  <c r="S13" i="2"/>
  <c r="R14" i="20"/>
  <c r="R13" i="2"/>
  <c r="AG14" i="20"/>
  <c r="AG13" i="2"/>
  <c r="Y14" i="20"/>
  <c r="Y13" i="2"/>
  <c r="Q14" i="20"/>
  <c r="Q13" i="2"/>
  <c r="K14" i="20"/>
  <c r="K13" i="2"/>
  <c r="AN14" i="20"/>
  <c r="AN13" i="2"/>
  <c r="AF14" i="20"/>
  <c r="AF13" i="2"/>
  <c r="X14" i="20"/>
  <c r="X13" i="2"/>
  <c r="P14" i="20"/>
  <c r="P13" i="2"/>
  <c r="AB14" i="20"/>
  <c r="AB13" i="2"/>
  <c r="AM14" i="20"/>
  <c r="AM13" i="2"/>
  <c r="AE14" i="20"/>
  <c r="AE13" i="2"/>
  <c r="W14" i="20"/>
  <c r="W13" i="2"/>
  <c r="O14" i="20"/>
  <c r="O13" i="2"/>
  <c r="L14" i="20"/>
  <c r="L13" i="2"/>
  <c r="AH14" i="20"/>
  <c r="AH13" i="2"/>
  <c r="AL14" i="20"/>
  <c r="AL13" i="2"/>
  <c r="V14" i="20"/>
  <c r="V13" i="2"/>
  <c r="AA14" i="20"/>
  <c r="AA13" i="2"/>
  <c r="Z14" i="20"/>
  <c r="Z13" i="2"/>
  <c r="AD14" i="20"/>
  <c r="AD13" i="2"/>
  <c r="N14" i="20"/>
  <c r="N13" i="2"/>
  <c r="AK14" i="20"/>
  <c r="AK13" i="2"/>
  <c r="AC14" i="20"/>
  <c r="AC13" i="2"/>
  <c r="U14" i="20"/>
  <c r="U13" i="2"/>
  <c r="M14" i="20"/>
  <c r="M13" i="2"/>
  <c r="Z15" i="20"/>
  <c r="Z14" i="2"/>
  <c r="AA15" i="20"/>
  <c r="AA14" i="2"/>
  <c r="L15" i="20"/>
  <c r="L14" i="2"/>
  <c r="W15" i="2"/>
  <c r="AE15" i="2"/>
  <c r="AM15" i="2"/>
  <c r="P15" i="2"/>
  <c r="X15" i="2"/>
  <c r="AF15" i="2"/>
  <c r="AN15" i="2"/>
  <c r="L15" i="2"/>
  <c r="Q15" i="2"/>
  <c r="Y15" i="2"/>
  <c r="AG15" i="2"/>
  <c r="R15" i="2"/>
  <c r="Z15" i="2"/>
  <c r="AH15" i="2"/>
  <c r="J15" i="20"/>
  <c r="J14" i="2"/>
  <c r="S15" i="2"/>
  <c r="AI15" i="2"/>
  <c r="AK15" i="2"/>
  <c r="AL15" i="2"/>
  <c r="T15" i="2"/>
  <c r="AJ15" i="2"/>
  <c r="V15" i="2"/>
  <c r="AA15" i="2"/>
  <c r="M15" i="2"/>
  <c r="U15" i="2"/>
  <c r="AC15" i="2"/>
  <c r="K15" i="2"/>
  <c r="AB15" i="2"/>
  <c r="J15" i="2"/>
  <c r="O15" i="2"/>
  <c r="G54" i="9"/>
  <c r="H5" i="2" s="1"/>
  <c r="H7" i="2"/>
  <c r="H8" i="20"/>
  <c r="I7" i="2"/>
  <c r="I8" i="20"/>
  <c r="G7" i="2"/>
  <c r="G8" i="2"/>
  <c r="I6" i="2"/>
  <c r="I6" i="20"/>
  <c r="G6" i="2"/>
  <c r="H6" i="2"/>
  <c r="H6" i="20"/>
  <c r="I8" i="2"/>
  <c r="I9" i="20"/>
  <c r="H8" i="2"/>
  <c r="H9" i="20"/>
  <c r="H54" i="9"/>
  <c r="G53" i="9"/>
  <c r="H4" i="20" s="1"/>
  <c r="F53" i="9"/>
  <c r="G4" i="20" s="1"/>
  <c r="F54" i="9"/>
  <c r="G5" i="20" s="1"/>
  <c r="H53" i="9"/>
  <c r="I4" i="20" s="1"/>
  <c r="D14" i="20" l="1"/>
  <c r="C14" i="20"/>
  <c r="E14" i="20"/>
  <c r="D16" i="20"/>
  <c r="E16" i="20"/>
  <c r="C16" i="20"/>
  <c r="E15" i="20"/>
  <c r="D15" i="20"/>
  <c r="C15" i="20"/>
  <c r="F16" i="20"/>
  <c r="E12" i="23"/>
  <c r="F11" i="23"/>
  <c r="AD15" i="2"/>
  <c r="F15" i="2" s="1"/>
  <c r="N15" i="2"/>
  <c r="F14" i="20"/>
  <c r="H5" i="20"/>
  <c r="D13" i="2"/>
  <c r="F13" i="2"/>
  <c r="D15" i="2"/>
  <c r="D14" i="2"/>
  <c r="F14" i="2"/>
  <c r="F15" i="20"/>
  <c r="E14" i="2"/>
  <c r="C14" i="2"/>
  <c r="E13" i="2"/>
  <c r="C13" i="2"/>
  <c r="G5" i="2"/>
  <c r="I5" i="2"/>
  <c r="I5" i="20"/>
  <c r="H27" i="2"/>
  <c r="I27" i="2"/>
  <c r="J27" i="2"/>
  <c r="G27" i="2"/>
  <c r="B75" i="9"/>
  <c r="C15" i="2" l="1"/>
  <c r="E15" i="2"/>
  <c r="F12" i="23"/>
  <c r="E13" i="23"/>
  <c r="C23" i="13"/>
  <c r="C22" i="13"/>
  <c r="C21" i="13"/>
  <c r="C20" i="13"/>
  <c r="E14" i="23" l="1"/>
  <c r="F13" i="23"/>
  <c r="I49" i="13"/>
  <c r="J49" i="13"/>
  <c r="K49" i="13"/>
  <c r="L49" i="13"/>
  <c r="M49" i="13"/>
  <c r="N49" i="13"/>
  <c r="O49" i="13"/>
  <c r="P49" i="13"/>
  <c r="Q49" i="13"/>
  <c r="R49" i="13"/>
  <c r="S49" i="13"/>
  <c r="T49" i="13"/>
  <c r="U49" i="13"/>
  <c r="V49" i="13"/>
  <c r="W49" i="13"/>
  <c r="X49" i="13"/>
  <c r="Y49" i="13"/>
  <c r="Z49" i="13"/>
  <c r="AA49" i="13"/>
  <c r="AB49" i="13"/>
  <c r="AC49" i="13"/>
  <c r="AD49" i="13"/>
  <c r="AE49" i="13"/>
  <c r="AF49" i="13"/>
  <c r="AG49" i="13"/>
  <c r="AH49" i="13"/>
  <c r="AI49" i="13"/>
  <c r="AJ49" i="13"/>
  <c r="G49" i="13"/>
  <c r="E49" i="13" s="1"/>
  <c r="H49" i="13"/>
  <c r="F49" i="13"/>
  <c r="I50" i="13"/>
  <c r="J50" i="13"/>
  <c r="K50" i="13"/>
  <c r="L50" i="13"/>
  <c r="M50" i="13"/>
  <c r="N50" i="13"/>
  <c r="O50" i="13"/>
  <c r="P50" i="13"/>
  <c r="Q50" i="13"/>
  <c r="R50" i="13"/>
  <c r="S50" i="13"/>
  <c r="T50" i="13"/>
  <c r="U50" i="13"/>
  <c r="V50" i="13"/>
  <c r="W50" i="13"/>
  <c r="X50" i="13"/>
  <c r="Y50" i="13"/>
  <c r="Z50" i="13"/>
  <c r="AA50" i="13"/>
  <c r="AB50" i="13"/>
  <c r="AC50" i="13"/>
  <c r="AD50" i="13"/>
  <c r="AE50" i="13"/>
  <c r="AF50" i="13"/>
  <c r="AG50" i="13"/>
  <c r="AH50" i="13"/>
  <c r="AI50" i="13"/>
  <c r="AJ50" i="13"/>
  <c r="G50" i="13"/>
  <c r="E50" i="13" s="1"/>
  <c r="H50" i="13"/>
  <c r="F50" i="13"/>
  <c r="I51" i="13"/>
  <c r="J51" i="13"/>
  <c r="K51" i="13"/>
  <c r="L51" i="13"/>
  <c r="M51" i="13"/>
  <c r="N51" i="13"/>
  <c r="O51" i="13"/>
  <c r="P51" i="13"/>
  <c r="Q51" i="13"/>
  <c r="R51" i="13"/>
  <c r="S51" i="13"/>
  <c r="T51" i="13"/>
  <c r="U51" i="13"/>
  <c r="V51" i="13"/>
  <c r="W51" i="13"/>
  <c r="X51" i="13"/>
  <c r="Y51" i="13"/>
  <c r="Z51" i="13"/>
  <c r="AA51" i="13"/>
  <c r="AB51" i="13"/>
  <c r="AC51" i="13"/>
  <c r="AD51" i="13"/>
  <c r="AE51" i="13"/>
  <c r="AF51" i="13"/>
  <c r="AG51" i="13"/>
  <c r="AH51" i="13"/>
  <c r="AI51" i="13"/>
  <c r="AJ51" i="13"/>
  <c r="G51" i="13"/>
  <c r="E51" i="13" s="1"/>
  <c r="H51" i="13"/>
  <c r="F51" i="13"/>
  <c r="I52" i="13"/>
  <c r="J52" i="13"/>
  <c r="K52" i="13"/>
  <c r="L52" i="13"/>
  <c r="M52" i="13"/>
  <c r="N52" i="13"/>
  <c r="O52" i="13"/>
  <c r="P52" i="13"/>
  <c r="Q52" i="13"/>
  <c r="R52" i="13"/>
  <c r="S52" i="13"/>
  <c r="T52" i="13"/>
  <c r="U52" i="13"/>
  <c r="V52" i="13"/>
  <c r="W52" i="13"/>
  <c r="X52" i="13"/>
  <c r="Y52" i="13"/>
  <c r="Z52" i="13"/>
  <c r="AA52" i="13"/>
  <c r="AB52" i="13"/>
  <c r="AC52" i="13"/>
  <c r="AD52" i="13"/>
  <c r="AE52" i="13"/>
  <c r="AF52" i="13"/>
  <c r="AG52" i="13"/>
  <c r="AH52" i="13"/>
  <c r="AI52" i="13"/>
  <c r="AJ52" i="13"/>
  <c r="G52" i="13"/>
  <c r="E52" i="13" s="1"/>
  <c r="H52" i="13"/>
  <c r="F52" i="13"/>
  <c r="F44" i="13"/>
  <c r="G44" i="13"/>
  <c r="H44" i="13"/>
  <c r="AF44" i="13"/>
  <c r="X44" i="13"/>
  <c r="P44" i="13"/>
  <c r="W44" i="13"/>
  <c r="O44" i="13"/>
  <c r="V44" i="13"/>
  <c r="L44" i="13"/>
  <c r="J44" i="13"/>
  <c r="AC44" i="13"/>
  <c r="K44" i="13"/>
  <c r="AD44" i="13"/>
  <c r="T44" i="13"/>
  <c r="AE44" i="13"/>
  <c r="N44" i="13"/>
  <c r="I44" i="13"/>
  <c r="U44" i="13"/>
  <c r="AJ44" i="13"/>
  <c r="AB44" i="13"/>
  <c r="S44" i="13"/>
  <c r="AH44" i="13"/>
  <c r="Z44" i="13"/>
  <c r="R44" i="13"/>
  <c r="AI44" i="13"/>
  <c r="AA44" i="13"/>
  <c r="M44" i="13"/>
  <c r="AG44" i="13"/>
  <c r="Y44" i="13"/>
  <c r="Q44" i="13"/>
  <c r="E44" i="13" l="1"/>
  <c r="C44" i="13"/>
  <c r="D44" i="13"/>
  <c r="F14" i="23"/>
  <c r="H14" i="23" s="1"/>
  <c r="E15" i="23"/>
  <c r="U13" i="20"/>
  <c r="U12" i="2"/>
  <c r="AC13" i="20"/>
  <c r="AC12" i="2"/>
  <c r="AK13" i="20"/>
  <c r="AK12" i="2"/>
  <c r="Q13" i="20"/>
  <c r="Q12" i="2"/>
  <c r="AE13" i="20"/>
  <c r="AE12" i="2"/>
  <c r="AM13" i="20"/>
  <c r="AM12" i="2"/>
  <c r="V13" i="20"/>
  <c r="V12" i="2"/>
  <c r="AD13" i="20"/>
  <c r="AD12" i="2"/>
  <c r="AL13" i="20"/>
  <c r="AL12" i="2"/>
  <c r="W13" i="20"/>
  <c r="W12" i="2"/>
  <c r="AF13" i="20"/>
  <c r="AF12" i="2"/>
  <c r="AN13" i="20"/>
  <c r="AN12" i="2"/>
  <c r="Y13" i="20"/>
  <c r="Y12" i="2"/>
  <c r="M13" i="20"/>
  <c r="M12" i="2"/>
  <c r="R13" i="20"/>
  <c r="R12" i="2"/>
  <c r="AI13" i="20"/>
  <c r="AI12" i="2"/>
  <c r="X13" i="20"/>
  <c r="X12" i="2"/>
  <c r="AH13" i="20"/>
  <c r="AH12" i="2"/>
  <c r="O13" i="20"/>
  <c r="O12" i="2"/>
  <c r="AG13" i="20"/>
  <c r="AG12" i="2"/>
  <c r="N13" i="20"/>
  <c r="N12" i="2"/>
  <c r="P13" i="20"/>
  <c r="P12" i="2"/>
  <c r="Z13" i="20"/>
  <c r="Z12" i="2"/>
  <c r="S13" i="20"/>
  <c r="S12" i="2"/>
  <c r="AA13" i="20"/>
  <c r="AA12" i="2"/>
  <c r="T13" i="20"/>
  <c r="T12" i="2"/>
  <c r="AB13" i="20"/>
  <c r="AB12" i="2"/>
  <c r="AJ13" i="20"/>
  <c r="AJ12" i="2"/>
  <c r="L13" i="20"/>
  <c r="L12" i="2"/>
  <c r="K13" i="20"/>
  <c r="K12" i="2"/>
  <c r="J13" i="20"/>
  <c r="J12" i="2"/>
  <c r="E13" i="20" l="1"/>
  <c r="C13" i="20"/>
  <c r="D13" i="20"/>
  <c r="F15" i="23"/>
  <c r="H15" i="23" s="1"/>
  <c r="E16" i="23"/>
  <c r="E17" i="23" s="1"/>
  <c r="E18" i="23" s="1"/>
  <c r="E19" i="23" s="1"/>
  <c r="D12" i="2"/>
  <c r="F12" i="2"/>
  <c r="F13" i="20"/>
  <c r="E12" i="2"/>
  <c r="C12" i="2"/>
  <c r="F19" i="6"/>
  <c r="G19" i="6"/>
  <c r="H19" i="6"/>
  <c r="I19" i="6"/>
  <c r="J19" i="6"/>
  <c r="K19" i="6"/>
  <c r="L19" i="6"/>
  <c r="M19" i="6"/>
  <c r="N19" i="6"/>
  <c r="O19" i="6"/>
  <c r="P19" i="6"/>
  <c r="Q19" i="6"/>
  <c r="R19" i="6"/>
  <c r="S19" i="6"/>
  <c r="T19" i="6"/>
  <c r="U19" i="6"/>
  <c r="V19" i="6"/>
  <c r="W19" i="6"/>
  <c r="X19" i="6"/>
  <c r="Y19" i="6"/>
  <c r="Z19" i="6"/>
  <c r="AA19" i="6"/>
  <c r="AB19" i="6"/>
  <c r="AC19" i="6"/>
  <c r="AD19" i="6"/>
  <c r="AE19" i="6"/>
  <c r="AF19" i="6"/>
  <c r="AG19" i="6"/>
  <c r="AH19" i="6"/>
  <c r="F20" i="6"/>
  <c r="G20" i="6"/>
  <c r="H20" i="6"/>
  <c r="I20" i="6"/>
  <c r="J20" i="6"/>
  <c r="K20" i="6"/>
  <c r="L20" i="6"/>
  <c r="M20" i="6"/>
  <c r="N20" i="6"/>
  <c r="O20" i="6"/>
  <c r="P20" i="6"/>
  <c r="Q20" i="6"/>
  <c r="R20" i="6"/>
  <c r="S20" i="6"/>
  <c r="T20" i="6"/>
  <c r="U20" i="6"/>
  <c r="V20" i="6"/>
  <c r="W20" i="6"/>
  <c r="X20" i="6"/>
  <c r="Y20" i="6"/>
  <c r="Z20" i="6"/>
  <c r="AA20" i="6"/>
  <c r="AB20" i="6"/>
  <c r="AC20" i="6"/>
  <c r="AD20" i="6"/>
  <c r="AE20" i="6"/>
  <c r="AF20" i="6"/>
  <c r="AG20" i="6"/>
  <c r="AH20" i="6"/>
  <c r="F21" i="6"/>
  <c r="G21" i="6"/>
  <c r="H21" i="6"/>
  <c r="I21" i="6"/>
  <c r="J21" i="6"/>
  <c r="K21" i="6"/>
  <c r="L21" i="6"/>
  <c r="M21" i="6"/>
  <c r="N21" i="6"/>
  <c r="O21" i="6"/>
  <c r="P21" i="6"/>
  <c r="Q21" i="6"/>
  <c r="R21" i="6"/>
  <c r="S21" i="6"/>
  <c r="T21" i="6"/>
  <c r="U21" i="6"/>
  <c r="V21" i="6"/>
  <c r="W21" i="6"/>
  <c r="X21" i="6"/>
  <c r="Y21" i="6"/>
  <c r="Z21" i="6"/>
  <c r="AA21" i="6"/>
  <c r="AB21" i="6"/>
  <c r="AC21" i="6"/>
  <c r="AD21" i="6"/>
  <c r="AE21" i="6"/>
  <c r="AF21" i="6"/>
  <c r="AG21" i="6"/>
  <c r="AH21" i="6"/>
  <c r="E22" i="6"/>
  <c r="K23" i="20" s="1"/>
  <c r="E20" i="2" l="1"/>
  <c r="C20" i="2"/>
  <c r="D20" i="2"/>
  <c r="Z22" i="6"/>
  <c r="AE21" i="2" s="1"/>
  <c r="R22" i="6"/>
  <c r="W21" i="2" s="1"/>
  <c r="J22" i="6"/>
  <c r="O21" i="2" s="1"/>
  <c r="AG22" i="6"/>
  <c r="AL21" i="2" s="1"/>
  <c r="Y22" i="6"/>
  <c r="AD21" i="2" s="1"/>
  <c r="Q22" i="6"/>
  <c r="V21" i="2" s="1"/>
  <c r="I22" i="6"/>
  <c r="N21" i="2" s="1"/>
  <c r="H22" i="6"/>
  <c r="M21" i="2" s="1"/>
  <c r="P22" i="6"/>
  <c r="U21" i="2" s="1"/>
  <c r="AE22" i="6"/>
  <c r="AJ21" i="2" s="1"/>
  <c r="W22" i="6"/>
  <c r="AB21" i="2" s="1"/>
  <c r="O22" i="6"/>
  <c r="T21" i="2" s="1"/>
  <c r="G22" i="6"/>
  <c r="L21" i="2" s="1"/>
  <c r="X22" i="6"/>
  <c r="AC21" i="2" s="1"/>
  <c r="AD22" i="6"/>
  <c r="AI21" i="2" s="1"/>
  <c r="V22" i="6"/>
  <c r="AA21" i="2" s="1"/>
  <c r="N22" i="6"/>
  <c r="S21" i="2" s="1"/>
  <c r="F22" i="6"/>
  <c r="K21" i="2" s="1"/>
  <c r="AF22" i="6"/>
  <c r="AK21" i="2" s="1"/>
  <c r="AC22" i="6"/>
  <c r="AH21" i="2" s="1"/>
  <c r="U22" i="6"/>
  <c r="Z21" i="2" s="1"/>
  <c r="M22" i="6"/>
  <c r="R21" i="2" s="1"/>
  <c r="AB22" i="6"/>
  <c r="AG21" i="2" s="1"/>
  <c r="T22" i="6"/>
  <c r="Y21" i="2" s="1"/>
  <c r="L22" i="6"/>
  <c r="Q21" i="2" s="1"/>
  <c r="AH22" i="6"/>
  <c r="AM21" i="2" s="1"/>
  <c r="AN21" i="2"/>
  <c r="AA22" i="6"/>
  <c r="AF21" i="2" s="1"/>
  <c r="S22" i="6"/>
  <c r="X21" i="2" s="1"/>
  <c r="K22" i="6"/>
  <c r="P21" i="2" s="1"/>
  <c r="J21" i="2"/>
  <c r="C29" i="9"/>
  <c r="C30" i="9"/>
  <c r="C27" i="9"/>
  <c r="AH23" i="20" l="1"/>
  <c r="AJ23" i="20"/>
  <c r="O23" i="20"/>
  <c r="Q23" i="20"/>
  <c r="S23" i="20"/>
  <c r="AD23" i="20"/>
  <c r="W23" i="20"/>
  <c r="Z23" i="20"/>
  <c r="N23" i="20"/>
  <c r="Y23" i="20"/>
  <c r="AE23" i="20"/>
  <c r="AI23" i="20"/>
  <c r="AM23" i="20"/>
  <c r="P23" i="20"/>
  <c r="AN23" i="20"/>
  <c r="L23" i="20"/>
  <c r="AK23" i="20"/>
  <c r="X23" i="20"/>
  <c r="AB23" i="20"/>
  <c r="AA23" i="20"/>
  <c r="M23" i="20"/>
  <c r="AG23" i="20"/>
  <c r="U23" i="20"/>
  <c r="AL23" i="20"/>
  <c r="AC23" i="20"/>
  <c r="R23" i="20"/>
  <c r="T23" i="20"/>
  <c r="V23" i="20"/>
  <c r="AF23" i="20"/>
  <c r="E25" i="6"/>
  <c r="E26" i="6" s="1"/>
  <c r="G56" i="9"/>
  <c r="H56" i="9"/>
  <c r="F56" i="9"/>
  <c r="G3" i="20" s="1"/>
  <c r="E23" i="20" l="1"/>
  <c r="E25" i="20" s="1"/>
  <c r="C23" i="20"/>
  <c r="C25" i="20" s="1"/>
  <c r="D23" i="20"/>
  <c r="D25" i="20" s="1"/>
  <c r="F23" i="20"/>
  <c r="B79" i="17" s="1"/>
  <c r="D21" i="2"/>
  <c r="D22" i="2" s="1"/>
  <c r="D5" i="17" s="1"/>
  <c r="E21" i="2"/>
  <c r="E22" i="2" s="1"/>
  <c r="B5" i="17" s="1"/>
  <c r="C21" i="2"/>
  <c r="C22" i="2" s="1"/>
  <c r="C5" i="17" s="1"/>
  <c r="G3" i="2"/>
  <c r="I3" i="2"/>
  <c r="I3" i="20"/>
  <c r="H3" i="2"/>
  <c r="H3" i="20"/>
  <c r="C14" i="17" l="1"/>
  <c r="D79" i="17"/>
  <c r="B14" i="17"/>
  <c r="C79" i="17"/>
  <c r="D14" i="17"/>
  <c r="E79" i="17"/>
  <c r="H4" i="2"/>
  <c r="J12" i="12"/>
  <c r="J7" i="12"/>
  <c r="C13" i="13"/>
  <c r="F42" i="13" s="1"/>
  <c r="B13" i="13"/>
  <c r="B5" i="13"/>
  <c r="F43" i="13" s="1"/>
  <c r="C20" i="8"/>
  <c r="C19" i="8"/>
  <c r="B8" i="12"/>
  <c r="B9" i="12" s="1"/>
  <c r="B10" i="12" s="1"/>
  <c r="B11" i="12" s="1"/>
  <c r="J12" i="20" l="1"/>
  <c r="J11" i="2"/>
  <c r="J11" i="20"/>
  <c r="J10" i="2"/>
  <c r="AA43" i="13"/>
  <c r="AI43" i="13"/>
  <c r="AB43" i="13"/>
  <c r="AJ43" i="13"/>
  <c r="AC43" i="13"/>
  <c r="AD43" i="13"/>
  <c r="AE43" i="13"/>
  <c r="AF43" i="13"/>
  <c r="AG43" i="13"/>
  <c r="AH43" i="13"/>
  <c r="H43" i="13"/>
  <c r="P43" i="13"/>
  <c r="X43" i="13"/>
  <c r="Q43" i="13"/>
  <c r="Y43" i="13"/>
  <c r="R43" i="13"/>
  <c r="Z43" i="13"/>
  <c r="N43" i="13"/>
  <c r="W43" i="13"/>
  <c r="I43" i="13"/>
  <c r="G43" i="13"/>
  <c r="J43" i="13"/>
  <c r="O43" i="13"/>
  <c r="K43" i="13"/>
  <c r="S43" i="13"/>
  <c r="L43" i="13"/>
  <c r="T43" i="13"/>
  <c r="U43" i="13"/>
  <c r="V43" i="13"/>
  <c r="M43" i="13"/>
  <c r="J42" i="13"/>
  <c r="R42" i="13"/>
  <c r="Z42" i="13"/>
  <c r="AH42" i="13"/>
  <c r="U42" i="13"/>
  <c r="K42" i="13"/>
  <c r="S42" i="13"/>
  <c r="AA42" i="13"/>
  <c r="AI42" i="13"/>
  <c r="M42" i="13"/>
  <c r="AD42" i="13"/>
  <c r="L42" i="13"/>
  <c r="T42" i="13"/>
  <c r="AB42" i="13"/>
  <c r="AJ42" i="13"/>
  <c r="AC42" i="13"/>
  <c r="V42" i="13"/>
  <c r="Y42" i="13"/>
  <c r="N42" i="13"/>
  <c r="O42" i="13"/>
  <c r="W42" i="13"/>
  <c r="AE42" i="13"/>
  <c r="AF42" i="13"/>
  <c r="I42" i="13"/>
  <c r="H42" i="13"/>
  <c r="P42" i="13"/>
  <c r="X42" i="13"/>
  <c r="Q42" i="13"/>
  <c r="AG42" i="13"/>
  <c r="G4" i="2"/>
  <c r="I4" i="2"/>
  <c r="E7" i="12"/>
  <c r="C43" i="13" l="1"/>
  <c r="D43" i="13"/>
  <c r="E43" i="13"/>
  <c r="E8" i="12"/>
  <c r="G8" i="12" s="1"/>
  <c r="J75" i="9"/>
  <c r="AK11" i="20"/>
  <c r="AK10" i="2"/>
  <c r="U11" i="20"/>
  <c r="U10" i="2"/>
  <c r="K11" i="20"/>
  <c r="K10" i="2"/>
  <c r="AB11" i="20"/>
  <c r="AB10" i="2"/>
  <c r="T11" i="20"/>
  <c r="T10" i="2"/>
  <c r="L11" i="20"/>
  <c r="L10" i="2"/>
  <c r="M11" i="20"/>
  <c r="M10" i="2"/>
  <c r="AJ11" i="20"/>
  <c r="AJ10" i="2"/>
  <c r="AI11" i="20"/>
  <c r="AI10" i="2"/>
  <c r="AA11" i="20"/>
  <c r="AA10" i="2"/>
  <c r="S11" i="20"/>
  <c r="S10" i="2"/>
  <c r="R11" i="20"/>
  <c r="R10" i="2"/>
  <c r="AC11" i="20"/>
  <c r="AC10" i="2"/>
  <c r="Z11" i="20"/>
  <c r="Z10" i="2"/>
  <c r="AG11" i="20"/>
  <c r="AG10" i="2"/>
  <c r="AN11" i="20"/>
  <c r="AN10" i="2"/>
  <c r="AF11" i="20"/>
  <c r="AF10" i="2"/>
  <c r="X11" i="20"/>
  <c r="X10" i="2"/>
  <c r="P11" i="20"/>
  <c r="P10" i="2"/>
  <c r="AH11" i="20"/>
  <c r="AH10" i="2"/>
  <c r="Q11" i="20"/>
  <c r="Q10" i="2"/>
  <c r="AM11" i="20"/>
  <c r="AM10" i="2"/>
  <c r="AE11" i="20"/>
  <c r="AE10" i="2"/>
  <c r="W11" i="20"/>
  <c r="W10" i="2"/>
  <c r="O11" i="20"/>
  <c r="O10" i="2"/>
  <c r="Y11" i="20"/>
  <c r="Y10" i="2"/>
  <c r="AL11" i="20"/>
  <c r="AL10" i="2"/>
  <c r="AD11" i="20"/>
  <c r="AD10" i="2"/>
  <c r="V11" i="20"/>
  <c r="V10" i="2"/>
  <c r="N11" i="20"/>
  <c r="N10" i="2"/>
  <c r="Q12" i="20"/>
  <c r="Q11" i="2"/>
  <c r="Z12" i="20"/>
  <c r="Z11" i="2"/>
  <c r="Y12" i="20"/>
  <c r="Y11" i="2"/>
  <c r="X12" i="20"/>
  <c r="X11" i="2"/>
  <c r="P12" i="20"/>
  <c r="P11" i="2"/>
  <c r="W12" i="20"/>
  <c r="W11" i="2"/>
  <c r="O12" i="20"/>
  <c r="O11" i="2"/>
  <c r="S12" i="20"/>
  <c r="S11" i="2"/>
  <c r="N12" i="20"/>
  <c r="N11" i="2"/>
  <c r="K12" i="20"/>
  <c r="K11" i="2"/>
  <c r="M12" i="20"/>
  <c r="M11" i="2"/>
  <c r="AA12" i="20"/>
  <c r="AA11" i="2"/>
  <c r="R12" i="20"/>
  <c r="R11" i="2"/>
  <c r="AD12" i="20"/>
  <c r="AD11" i="2"/>
  <c r="V12" i="20"/>
  <c r="V11" i="2"/>
  <c r="AC12" i="20"/>
  <c r="AC11" i="2"/>
  <c r="U12" i="20"/>
  <c r="U11" i="2"/>
  <c r="AB12" i="20"/>
  <c r="AB11" i="2"/>
  <c r="T12" i="20"/>
  <c r="T11" i="2"/>
  <c r="L12" i="20"/>
  <c r="L11" i="2"/>
  <c r="AL12" i="20"/>
  <c r="AL11" i="2"/>
  <c r="AK12" i="20"/>
  <c r="AK11" i="2"/>
  <c r="AJ12" i="20"/>
  <c r="AJ11" i="2"/>
  <c r="AI12" i="20"/>
  <c r="AI11" i="2"/>
  <c r="AH12" i="20"/>
  <c r="AH11" i="2"/>
  <c r="AG12" i="20"/>
  <c r="AG11" i="2"/>
  <c r="AN12" i="20"/>
  <c r="AN11" i="2"/>
  <c r="AF12" i="20"/>
  <c r="AF11" i="2"/>
  <c r="AM12" i="20"/>
  <c r="AM11" i="2"/>
  <c r="AE12" i="20"/>
  <c r="AE11" i="2"/>
  <c r="E9" i="12"/>
  <c r="G7" i="12"/>
  <c r="D12" i="20" l="1"/>
  <c r="C12" i="20"/>
  <c r="E12" i="20"/>
  <c r="C11" i="20"/>
  <c r="E11" i="20"/>
  <c r="C48" i="17" s="1"/>
  <c r="D11" i="20"/>
  <c r="E40" i="17" s="1"/>
  <c r="D11" i="2"/>
  <c r="E58" i="17" s="1"/>
  <c r="F12" i="20"/>
  <c r="F11" i="2"/>
  <c r="B58" i="17" s="1"/>
  <c r="F10" i="2"/>
  <c r="F11" i="20"/>
  <c r="B48" i="17" s="1"/>
  <c r="D10" i="2"/>
  <c r="I56" i="9"/>
  <c r="J67" i="9"/>
  <c r="J65" i="9"/>
  <c r="K27" i="2"/>
  <c r="E10" i="12"/>
  <c r="E21" i="12"/>
  <c r="K49" i="9" s="1"/>
  <c r="L75" i="9"/>
  <c r="M27" i="2" s="1"/>
  <c r="C21" i="12"/>
  <c r="K66" i="9"/>
  <c r="K59" i="9"/>
  <c r="K65" i="9"/>
  <c r="K67" i="9"/>
  <c r="K68" i="9"/>
  <c r="D21" i="12"/>
  <c r="J49" i="9" s="1"/>
  <c r="J59" i="9" s="1"/>
  <c r="K75" i="9"/>
  <c r="L27" i="2" s="1"/>
  <c r="E11" i="2"/>
  <c r="C58" i="17" s="1"/>
  <c r="C11" i="2"/>
  <c r="D58" i="17" s="1"/>
  <c r="J56" i="9"/>
  <c r="J55" i="9"/>
  <c r="J54" i="9"/>
  <c r="J58" i="9"/>
  <c r="J57" i="9"/>
  <c r="C10" i="2"/>
  <c r="E10" i="2"/>
  <c r="J8" i="12"/>
  <c r="G9" i="12"/>
  <c r="J68" i="9" l="1"/>
  <c r="J66" i="9"/>
  <c r="J53" i="9"/>
  <c r="I9" i="12"/>
  <c r="E48" i="17"/>
  <c r="C40" i="17"/>
  <c r="B40" i="17"/>
  <c r="L10" i="20"/>
  <c r="L9" i="2"/>
  <c r="M75" i="9"/>
  <c r="G10" i="12"/>
  <c r="E11" i="12"/>
  <c r="K9" i="2"/>
  <c r="K10" i="20"/>
  <c r="I58" i="9"/>
  <c r="I59" i="9"/>
  <c r="I66" i="9"/>
  <c r="I55" i="9"/>
  <c r="I57" i="9"/>
  <c r="I53" i="9"/>
  <c r="I54" i="9"/>
  <c r="I67" i="9"/>
  <c r="I68" i="9"/>
  <c r="I65" i="9"/>
  <c r="K4" i="2"/>
  <c r="K4" i="20"/>
  <c r="K7" i="2"/>
  <c r="K8" i="20"/>
  <c r="K8" i="2"/>
  <c r="K9" i="20"/>
  <c r="K5" i="2"/>
  <c r="K5" i="20"/>
  <c r="K6" i="2"/>
  <c r="K6" i="20"/>
  <c r="K3" i="20"/>
  <c r="K3" i="2"/>
  <c r="D48" i="17"/>
  <c r="D40" i="17"/>
  <c r="K56" i="9"/>
  <c r="K55" i="9"/>
  <c r="K57" i="9"/>
  <c r="K58" i="9"/>
  <c r="K53" i="9"/>
  <c r="K54" i="9"/>
  <c r="J9" i="12"/>
  <c r="I10" i="12" l="1"/>
  <c r="J10" i="12" s="1"/>
  <c r="J9" i="2"/>
  <c r="J10" i="20"/>
  <c r="J3" i="2"/>
  <c r="J3" i="20"/>
  <c r="J9" i="20"/>
  <c r="J8" i="2"/>
  <c r="N75" i="9"/>
  <c r="G11" i="12"/>
  <c r="J4" i="20"/>
  <c r="J4" i="2"/>
  <c r="J6" i="20"/>
  <c r="J6" i="2"/>
  <c r="F21" i="12"/>
  <c r="J5" i="2"/>
  <c r="J5" i="20"/>
  <c r="J7" i="2"/>
  <c r="J8" i="20"/>
  <c r="N27" i="2"/>
  <c r="L5" i="2"/>
  <c r="L5" i="20"/>
  <c r="L4" i="2"/>
  <c r="L4" i="20"/>
  <c r="L8" i="2"/>
  <c r="L9" i="20"/>
  <c r="L7" i="2"/>
  <c r="L8" i="20"/>
  <c r="L6" i="2"/>
  <c r="L6" i="20"/>
  <c r="L3" i="20"/>
  <c r="L3" i="2"/>
  <c r="L49" i="9" l="1"/>
  <c r="G21" i="12"/>
  <c r="M49" i="9" s="1"/>
  <c r="I11" i="12"/>
  <c r="J11" i="12" s="1"/>
  <c r="O27" i="2"/>
  <c r="O75" i="9"/>
  <c r="M58" i="9" l="1"/>
  <c r="M66" i="9"/>
  <c r="M56" i="9"/>
  <c r="M55" i="9"/>
  <c r="M59" i="9"/>
  <c r="M53" i="9"/>
  <c r="M65" i="9"/>
  <c r="M67" i="9"/>
  <c r="M68" i="9"/>
  <c r="M54" i="9"/>
  <c r="M57" i="9"/>
  <c r="L65" i="9"/>
  <c r="L59" i="9"/>
  <c r="L55" i="9"/>
  <c r="L66" i="9"/>
  <c r="L53" i="9"/>
  <c r="L57" i="9"/>
  <c r="L56" i="9"/>
  <c r="L58" i="9"/>
  <c r="L54" i="9"/>
  <c r="L68" i="9"/>
  <c r="L67" i="9"/>
  <c r="H21" i="12"/>
  <c r="P27" i="2"/>
  <c r="P75" i="9"/>
  <c r="M6" i="2" l="1"/>
  <c r="M6" i="20"/>
  <c r="N10" i="20"/>
  <c r="N9" i="2"/>
  <c r="M9" i="2"/>
  <c r="M10" i="20"/>
  <c r="M5" i="2"/>
  <c r="M5" i="20"/>
  <c r="N6" i="2"/>
  <c r="N6" i="20"/>
  <c r="N4" i="2"/>
  <c r="N4" i="20"/>
  <c r="N3" i="20"/>
  <c r="N3" i="2"/>
  <c r="M3" i="2"/>
  <c r="M3" i="20"/>
  <c r="N7" i="2"/>
  <c r="N8" i="20"/>
  <c r="M7" i="2"/>
  <c r="M8" i="20"/>
  <c r="N5" i="2"/>
  <c r="N5" i="20"/>
  <c r="M9" i="20"/>
  <c r="M8" i="2"/>
  <c r="N49" i="9"/>
  <c r="M4" i="20"/>
  <c r="M4" i="2"/>
  <c r="N9" i="20"/>
  <c r="N8" i="2"/>
  <c r="Q27" i="2"/>
  <c r="Q75" i="9"/>
  <c r="I21" i="12"/>
  <c r="O49" i="9" l="1"/>
  <c r="N68" i="9"/>
  <c r="N59" i="9"/>
  <c r="N55" i="9"/>
  <c r="N58" i="9"/>
  <c r="N54" i="9"/>
  <c r="N67" i="9"/>
  <c r="N65" i="9"/>
  <c r="N56" i="9"/>
  <c r="N66" i="9"/>
  <c r="N57" i="9"/>
  <c r="N53" i="9"/>
  <c r="R27" i="2"/>
  <c r="R75" i="9"/>
  <c r="J21" i="12"/>
  <c r="K20" i="12"/>
  <c r="K22" i="12" s="1"/>
  <c r="O8" i="20" l="1"/>
  <c r="O7" i="2"/>
  <c r="O9" i="2"/>
  <c r="O10" i="20"/>
  <c r="P49" i="9"/>
  <c r="O3" i="20"/>
  <c r="O3" i="2"/>
  <c r="O4" i="2"/>
  <c r="O4" i="20"/>
  <c r="O9" i="20"/>
  <c r="O8" i="2"/>
  <c r="O6" i="2"/>
  <c r="O6" i="20"/>
  <c r="O5" i="2"/>
  <c r="O5" i="20"/>
  <c r="O67" i="9"/>
  <c r="O55" i="9"/>
  <c r="O65" i="9"/>
  <c r="O54" i="9"/>
  <c r="O53" i="9"/>
  <c r="O66" i="9"/>
  <c r="O57" i="9"/>
  <c r="O56" i="9"/>
  <c r="O59" i="9"/>
  <c r="O58" i="9"/>
  <c r="O68" i="9"/>
  <c r="S27" i="2"/>
  <c r="S75" i="9"/>
  <c r="K21" i="12"/>
  <c r="Q49" i="9" s="1"/>
  <c r="Q67" i="9" s="1"/>
  <c r="L20" i="12"/>
  <c r="L22" i="12" s="1"/>
  <c r="Q66" i="9"/>
  <c r="Q59" i="9"/>
  <c r="Q65" i="9"/>
  <c r="Q68" i="9"/>
  <c r="Q58" i="9"/>
  <c r="Q53" i="9"/>
  <c r="Q57" i="9"/>
  <c r="Q56" i="9"/>
  <c r="Q54" i="9"/>
  <c r="Q55" i="9"/>
  <c r="P4" i="2" l="1"/>
  <c r="P4" i="20"/>
  <c r="P5" i="20"/>
  <c r="P5" i="2"/>
  <c r="P6" i="20"/>
  <c r="P6" i="2"/>
  <c r="P54" i="9"/>
  <c r="P66" i="9"/>
  <c r="P56" i="9"/>
  <c r="P58" i="9"/>
  <c r="P53" i="9"/>
  <c r="P65" i="9"/>
  <c r="P57" i="9"/>
  <c r="P55" i="9"/>
  <c r="P59" i="9"/>
  <c r="P68" i="9"/>
  <c r="P67" i="9"/>
  <c r="P8" i="2"/>
  <c r="P9" i="20"/>
  <c r="P10" i="20"/>
  <c r="P9" i="2"/>
  <c r="P3" i="20"/>
  <c r="P3" i="2"/>
  <c r="P8" i="20"/>
  <c r="P7" i="2"/>
  <c r="R3" i="20"/>
  <c r="R3" i="2"/>
  <c r="T27" i="2"/>
  <c r="T75" i="9"/>
  <c r="R7" i="2"/>
  <c r="R8" i="20"/>
  <c r="R68" i="9"/>
  <c r="R65" i="9"/>
  <c r="R67" i="9"/>
  <c r="R54" i="9"/>
  <c r="R53" i="9"/>
  <c r="R58" i="9"/>
  <c r="R4" i="2"/>
  <c r="R4" i="20"/>
  <c r="R8" i="2"/>
  <c r="R9" i="20"/>
  <c r="R6" i="2"/>
  <c r="R6" i="20"/>
  <c r="L21" i="12"/>
  <c r="R49" i="9" s="1"/>
  <c r="R56" i="9" s="1"/>
  <c r="M20" i="12"/>
  <c r="M22" i="12" s="1"/>
  <c r="R5" i="2"/>
  <c r="R5" i="20"/>
  <c r="R9" i="2"/>
  <c r="R10" i="20"/>
  <c r="D8" i="8"/>
  <c r="D9" i="8"/>
  <c r="D10" i="8"/>
  <c r="D11" i="8"/>
  <c r="D12" i="8"/>
  <c r="D13" i="8"/>
  <c r="D7" i="8"/>
  <c r="E14" i="8"/>
  <c r="C14" i="8"/>
  <c r="D2" i="8"/>
  <c r="C16" i="9"/>
  <c r="B61" i="9" s="1"/>
  <c r="B16" i="9"/>
  <c r="B8" i="9"/>
  <c r="Q3" i="20" l="1"/>
  <c r="Q3" i="2"/>
  <c r="Q9" i="2"/>
  <c r="Q10" i="20"/>
  <c r="Q6" i="2"/>
  <c r="Q6" i="20"/>
  <c r="Q5" i="2"/>
  <c r="Q5" i="20"/>
  <c r="Q8" i="20"/>
  <c r="Q7" i="2"/>
  <c r="R59" i="9"/>
  <c r="R55" i="9"/>
  <c r="R66" i="9"/>
  <c r="Q4" i="2"/>
  <c r="Q4" i="20"/>
  <c r="R57" i="9"/>
  <c r="Q8" i="2"/>
  <c r="Q9" i="20"/>
  <c r="F62" i="9"/>
  <c r="G62" i="9"/>
  <c r="H62" i="9"/>
  <c r="K62" i="9"/>
  <c r="J62" i="9"/>
  <c r="L62" i="9"/>
  <c r="M62" i="9"/>
  <c r="N62" i="9"/>
  <c r="O62" i="9"/>
  <c r="P62" i="9"/>
  <c r="Q62" i="9"/>
  <c r="R62" i="9"/>
  <c r="S3" i="20"/>
  <c r="S3" i="2"/>
  <c r="N20" i="12"/>
  <c r="N22" i="12" s="1"/>
  <c r="M21" i="12"/>
  <c r="S49" i="9" s="1"/>
  <c r="S56" i="9" s="1"/>
  <c r="S6" i="20"/>
  <c r="S6" i="2"/>
  <c r="S58" i="9"/>
  <c r="S53" i="9"/>
  <c r="S5" i="2"/>
  <c r="S5" i="20"/>
  <c r="S9" i="2"/>
  <c r="S10" i="20"/>
  <c r="S4" i="2"/>
  <c r="S4" i="20"/>
  <c r="U27" i="2"/>
  <c r="U75" i="9"/>
  <c r="S8" i="2"/>
  <c r="S9" i="20"/>
  <c r="S7" i="2"/>
  <c r="S62" i="9" l="1"/>
  <c r="S54" i="9"/>
  <c r="S65" i="9"/>
  <c r="S68" i="9"/>
  <c r="S57" i="9"/>
  <c r="S59" i="9"/>
  <c r="T9" i="2" s="1"/>
  <c r="S8" i="20"/>
  <c r="S67" i="9"/>
  <c r="S55" i="9"/>
  <c r="S66" i="9"/>
  <c r="V27" i="2"/>
  <c r="V75" i="9"/>
  <c r="T5" i="2"/>
  <c r="T5" i="20"/>
  <c r="T8" i="20"/>
  <c r="T7" i="2"/>
  <c r="O20" i="12"/>
  <c r="O22" i="12" s="1"/>
  <c r="N21" i="12"/>
  <c r="T49" i="9" s="1"/>
  <c r="T62" i="9" s="1"/>
  <c r="T3" i="2"/>
  <c r="T3" i="20"/>
  <c r="T54" i="9"/>
  <c r="T4" i="2"/>
  <c r="T4" i="20"/>
  <c r="T9" i="20"/>
  <c r="T8" i="2"/>
  <c r="I61" i="9"/>
  <c r="J7" i="20" s="1"/>
  <c r="F61" i="9"/>
  <c r="G7" i="20" s="1"/>
  <c r="G61" i="9"/>
  <c r="H7" i="20" s="1"/>
  <c r="H61" i="9"/>
  <c r="I7" i="20" s="1"/>
  <c r="K61" i="9"/>
  <c r="L7" i="20" s="1"/>
  <c r="L61" i="9"/>
  <c r="M7" i="20" s="1"/>
  <c r="O61" i="9"/>
  <c r="P7" i="20" s="1"/>
  <c r="N61" i="9"/>
  <c r="O7" i="20" s="1"/>
  <c r="J61" i="9"/>
  <c r="M61" i="9"/>
  <c r="N7" i="20" s="1"/>
  <c r="P61" i="9"/>
  <c r="Q7" i="20" s="1"/>
  <c r="Q61" i="9"/>
  <c r="R7" i="20" s="1"/>
  <c r="R61" i="9"/>
  <c r="S7" i="20" s="1"/>
  <c r="S61" i="9"/>
  <c r="T7" i="20" s="1"/>
  <c r="T61" i="9"/>
  <c r="U7" i="20" s="1"/>
  <c r="T67" i="9" l="1"/>
  <c r="T58" i="9"/>
  <c r="U9" i="20" s="1"/>
  <c r="T57" i="9"/>
  <c r="T59" i="9"/>
  <c r="T6" i="2"/>
  <c r="T10" i="20"/>
  <c r="T68" i="9"/>
  <c r="T65" i="9"/>
  <c r="T6" i="20"/>
  <c r="T56" i="9"/>
  <c r="T55" i="9"/>
  <c r="U6" i="20" s="1"/>
  <c r="T66" i="9"/>
  <c r="T53" i="9"/>
  <c r="U4" i="2" s="1"/>
  <c r="K7" i="20"/>
  <c r="U5" i="20"/>
  <c r="U5" i="2"/>
  <c r="U66" i="9"/>
  <c r="U55" i="9"/>
  <c r="U58" i="9"/>
  <c r="U57" i="9"/>
  <c r="P20" i="12"/>
  <c r="P22" i="12" s="1"/>
  <c r="O21" i="12"/>
  <c r="U49" i="9" s="1"/>
  <c r="U62" i="9" s="1"/>
  <c r="U7" i="2"/>
  <c r="U8" i="20"/>
  <c r="W27" i="2"/>
  <c r="W75" i="9"/>
  <c r="U3" i="20"/>
  <c r="U3" i="2"/>
  <c r="U9" i="2"/>
  <c r="U10" i="20"/>
  <c r="U6" i="2"/>
  <c r="U8" i="2" l="1"/>
  <c r="U56" i="9"/>
  <c r="V3" i="20" s="1"/>
  <c r="U68" i="9"/>
  <c r="U4" i="20"/>
  <c r="U67" i="9"/>
  <c r="U65" i="9"/>
  <c r="U61" i="9"/>
  <c r="U53" i="9"/>
  <c r="U54" i="9"/>
  <c r="U59" i="9"/>
  <c r="V66" i="9"/>
  <c r="V58" i="9"/>
  <c r="V54" i="9"/>
  <c r="V53" i="9"/>
  <c r="Q20" i="12"/>
  <c r="Q22" i="12" s="1"/>
  <c r="P21" i="12"/>
  <c r="V49" i="9" s="1"/>
  <c r="V62" i="9" s="1"/>
  <c r="V9" i="2"/>
  <c r="V10" i="20"/>
  <c r="V8" i="2"/>
  <c r="V9" i="20"/>
  <c r="V6" i="20"/>
  <c r="V6" i="2"/>
  <c r="V5" i="2"/>
  <c r="V5" i="20"/>
  <c r="V7" i="2"/>
  <c r="V8" i="20"/>
  <c r="X27" i="2"/>
  <c r="X75" i="9"/>
  <c r="V4" i="2"/>
  <c r="V4" i="20"/>
  <c r="V7" i="20" l="1"/>
  <c r="V56" i="9"/>
  <c r="W3" i="2" s="1"/>
  <c r="V68" i="9"/>
  <c r="V3" i="2"/>
  <c r="V65" i="9"/>
  <c r="V55" i="9"/>
  <c r="V67" i="9"/>
  <c r="V57" i="9"/>
  <c r="W7" i="2" s="1"/>
  <c r="V61" i="9"/>
  <c r="W7" i="20" s="1"/>
  <c r="V59" i="9"/>
  <c r="W10" i="20" s="1"/>
  <c r="Q21" i="12"/>
  <c r="W49" i="9" s="1"/>
  <c r="W62" i="9" s="1"/>
  <c r="R20" i="12"/>
  <c r="R22" i="12" s="1"/>
  <c r="W4" i="2"/>
  <c r="W4" i="20"/>
  <c r="W5" i="20"/>
  <c r="W5" i="2"/>
  <c r="W59" i="9"/>
  <c r="W65" i="9"/>
  <c r="W58" i="9"/>
  <c r="W61" i="9"/>
  <c r="X7" i="20" s="1"/>
  <c r="W56" i="9"/>
  <c r="Y27" i="2"/>
  <c r="Y75" i="9"/>
  <c r="W6" i="2"/>
  <c r="W6" i="20"/>
  <c r="W8" i="2"/>
  <c r="W9" i="20"/>
  <c r="W3" i="20" l="1"/>
  <c r="W66" i="9"/>
  <c r="W53" i="9"/>
  <c r="X4" i="20" s="1"/>
  <c r="W57" i="9"/>
  <c r="X7" i="2" s="1"/>
  <c r="W9" i="2"/>
  <c r="W67" i="9"/>
  <c r="W8" i="20"/>
  <c r="W54" i="9"/>
  <c r="X5" i="20" s="1"/>
  <c r="W55" i="9"/>
  <c r="W68" i="9"/>
  <c r="R21" i="12"/>
  <c r="X49" i="9" s="1"/>
  <c r="X62" i="9" s="1"/>
  <c r="S20" i="12"/>
  <c r="S22" i="12" s="1"/>
  <c r="X9" i="20"/>
  <c r="X8" i="2"/>
  <c r="Z27" i="2"/>
  <c r="Z75" i="9"/>
  <c r="X59" i="9"/>
  <c r="X67" i="9"/>
  <c r="X68" i="9"/>
  <c r="X65" i="9"/>
  <c r="X54" i="9"/>
  <c r="X53" i="9"/>
  <c r="X61" i="9"/>
  <c r="Y7" i="20" s="1"/>
  <c r="X5" i="2"/>
  <c r="X6" i="20"/>
  <c r="X6" i="2"/>
  <c r="X3" i="20"/>
  <c r="X3" i="2"/>
  <c r="X9" i="2"/>
  <c r="X10" i="20"/>
  <c r="X4" i="2"/>
  <c r="X55" i="9" l="1"/>
  <c r="Y6" i="2" s="1"/>
  <c r="X66" i="9"/>
  <c r="X56" i="9"/>
  <c r="Y3" i="20" s="1"/>
  <c r="X58" i="9"/>
  <c r="X8" i="20"/>
  <c r="X57" i="9"/>
  <c r="Y8" i="20"/>
  <c r="Y7" i="2"/>
  <c r="Y8" i="2"/>
  <c r="Y9" i="20"/>
  <c r="AA27" i="2"/>
  <c r="AA75" i="9"/>
  <c r="Y4" i="2"/>
  <c r="Y4" i="20"/>
  <c r="Y5" i="2"/>
  <c r="Y5" i="20"/>
  <c r="Y9" i="2"/>
  <c r="Y10" i="20"/>
  <c r="S21" i="12"/>
  <c r="Y49" i="9" s="1"/>
  <c r="Y62" i="9" s="1"/>
  <c r="T20" i="12"/>
  <c r="T22" i="12" s="1"/>
  <c r="Y66" i="9"/>
  <c r="Y68" i="9"/>
  <c r="Y58" i="9"/>
  <c r="Y54" i="9"/>
  <c r="Y53" i="9"/>
  <c r="Y61" i="9"/>
  <c r="Z7" i="20" s="1"/>
  <c r="Y57" i="9"/>
  <c r="Y3" i="2" l="1"/>
  <c r="Y67" i="9"/>
  <c r="Y65" i="9"/>
  <c r="Y56" i="9"/>
  <c r="Z3" i="2" s="1"/>
  <c r="Y6" i="20"/>
  <c r="Y55" i="9"/>
  <c r="Y59" i="9"/>
  <c r="Z10" i="20" s="1"/>
  <c r="Z6" i="2"/>
  <c r="Z6" i="20"/>
  <c r="AB27" i="2"/>
  <c r="AB75" i="9"/>
  <c r="T21" i="12"/>
  <c r="Z49" i="9" s="1"/>
  <c r="Z62" i="9" s="1"/>
  <c r="U20" i="12"/>
  <c r="U22" i="12" s="1"/>
  <c r="Z66" i="9"/>
  <c r="Z59" i="9"/>
  <c r="Z68" i="9"/>
  <c r="Z65" i="9"/>
  <c r="Z67" i="9"/>
  <c r="Z54" i="9"/>
  <c r="Z56" i="9"/>
  <c r="Z57" i="9"/>
  <c r="Z58" i="9"/>
  <c r="Z53" i="9"/>
  <c r="Z61" i="9"/>
  <c r="Z55" i="9"/>
  <c r="Z8" i="20"/>
  <c r="Z7" i="2"/>
  <c r="Z4" i="2"/>
  <c r="Z4" i="20"/>
  <c r="Z5" i="2"/>
  <c r="Z5" i="20"/>
  <c r="Z9" i="2"/>
  <c r="Z8" i="2"/>
  <c r="Z9" i="20"/>
  <c r="Z3" i="20" l="1"/>
  <c r="AA7" i="20"/>
  <c r="AA66" i="9"/>
  <c r="AA59" i="9"/>
  <c r="AA54" i="9"/>
  <c r="AA53" i="9"/>
  <c r="AA3" i="20"/>
  <c r="AA3" i="2"/>
  <c r="U21" i="12"/>
  <c r="AA49" i="9" s="1"/>
  <c r="AA62" i="9" s="1"/>
  <c r="V20" i="12"/>
  <c r="V22" i="12" s="1"/>
  <c r="AA5" i="2"/>
  <c r="AA5" i="20"/>
  <c r="AA7" i="2"/>
  <c r="AA8" i="20"/>
  <c r="AA6" i="2"/>
  <c r="AA6" i="20"/>
  <c r="AC27" i="2"/>
  <c r="AC75" i="9"/>
  <c r="AA8" i="2"/>
  <c r="AA9" i="20"/>
  <c r="AA4" i="2"/>
  <c r="AA4" i="20"/>
  <c r="AA9" i="2"/>
  <c r="AA10" i="20"/>
  <c r="AA55" i="9" l="1"/>
  <c r="AA57" i="9"/>
  <c r="AA56" i="9"/>
  <c r="AB3" i="2" s="1"/>
  <c r="AA65" i="9"/>
  <c r="AA58" i="9"/>
  <c r="AB9" i="20" s="1"/>
  <c r="AA68" i="9"/>
  <c r="AA61" i="9"/>
  <c r="AA67" i="9"/>
  <c r="AB7" i="2"/>
  <c r="AB8" i="20"/>
  <c r="AB3" i="20"/>
  <c r="AB4" i="2"/>
  <c r="AB4" i="20"/>
  <c r="AB9" i="2"/>
  <c r="AB10" i="20"/>
  <c r="W20" i="12"/>
  <c r="W22" i="12" s="1"/>
  <c r="V21" i="12"/>
  <c r="AB49" i="9" s="1"/>
  <c r="AB62" i="9" s="1"/>
  <c r="AB5" i="2"/>
  <c r="AB5" i="20"/>
  <c r="AD27" i="2"/>
  <c r="AD75" i="9"/>
  <c r="AB6" i="2"/>
  <c r="AB6" i="20"/>
  <c r="AB59" i="9"/>
  <c r="AB56" i="9"/>
  <c r="AB8" i="2" l="1"/>
  <c r="AB53" i="9"/>
  <c r="AB58" i="9"/>
  <c r="AC9" i="20" s="1"/>
  <c r="AB54" i="9"/>
  <c r="AB61" i="9"/>
  <c r="AC7" i="20" s="1"/>
  <c r="AB57" i="9"/>
  <c r="AC7" i="2" s="1"/>
  <c r="AB7" i="20"/>
  <c r="AB66" i="9"/>
  <c r="AB65" i="9"/>
  <c r="AB68" i="9"/>
  <c r="AB55" i="9"/>
  <c r="AC6" i="20" s="1"/>
  <c r="AB67" i="9"/>
  <c r="AC9" i="2"/>
  <c r="AC10" i="20"/>
  <c r="AE27" i="2"/>
  <c r="AE75" i="9"/>
  <c r="AC6" i="2"/>
  <c r="AC4" i="2"/>
  <c r="AC4" i="20"/>
  <c r="AC3" i="2"/>
  <c r="AC3" i="20"/>
  <c r="AC8" i="2"/>
  <c r="AC59" i="9"/>
  <c r="AC67" i="9"/>
  <c r="AC68" i="9"/>
  <c r="AC57" i="9"/>
  <c r="AC53" i="9"/>
  <c r="AC61" i="9"/>
  <c r="AD7" i="20" s="1"/>
  <c r="AC54" i="9"/>
  <c r="AC56" i="9"/>
  <c r="X20" i="12"/>
  <c r="X22" i="12" s="1"/>
  <c r="W21" i="12"/>
  <c r="AC49" i="9" s="1"/>
  <c r="AC62" i="9" s="1"/>
  <c r="AC5" i="2"/>
  <c r="AC5" i="20"/>
  <c r="AC55" i="9" l="1"/>
  <c r="AC66" i="9"/>
  <c r="AC58" i="9"/>
  <c r="AD8" i="2" s="1"/>
  <c r="AC8" i="20"/>
  <c r="AC65" i="9"/>
  <c r="AD7" i="2"/>
  <c r="AD8" i="20"/>
  <c r="AD3" i="2"/>
  <c r="AD3" i="20"/>
  <c r="AF27" i="2"/>
  <c r="AF75" i="9"/>
  <c r="AD9" i="20"/>
  <c r="Y20" i="12"/>
  <c r="Y22" i="12" s="1"/>
  <c r="X21" i="12"/>
  <c r="AD49" i="9" s="1"/>
  <c r="AD62" i="9" s="1"/>
  <c r="AD5" i="2"/>
  <c r="AD5" i="20"/>
  <c r="AD4" i="2"/>
  <c r="AD4" i="20"/>
  <c r="AD9" i="2"/>
  <c r="AD10" i="20"/>
  <c r="AD6" i="2"/>
  <c r="AD6" i="20"/>
  <c r="AD65" i="9"/>
  <c r="AD67" i="9"/>
  <c r="AD68" i="9"/>
  <c r="AD54" i="9"/>
  <c r="AD53" i="9"/>
  <c r="AD57" i="9"/>
  <c r="AD56" i="9"/>
  <c r="AD58" i="9" l="1"/>
  <c r="AD59" i="9"/>
  <c r="AD55" i="9"/>
  <c r="AD66" i="9"/>
  <c r="AD61" i="9"/>
  <c r="AE7" i="20" s="1"/>
  <c r="AE9" i="2"/>
  <c r="AE10" i="20"/>
  <c r="AE6" i="2"/>
  <c r="AE6" i="20"/>
  <c r="AE7" i="2"/>
  <c r="AE8" i="20"/>
  <c r="AE8" i="2"/>
  <c r="AE9" i="20"/>
  <c r="AG27" i="2"/>
  <c r="AG75" i="9"/>
  <c r="AE65" i="9"/>
  <c r="AE58" i="9"/>
  <c r="AE54" i="9"/>
  <c r="AE57" i="9"/>
  <c r="AE4" i="2"/>
  <c r="AE4" i="20"/>
  <c r="AE5" i="2"/>
  <c r="AE5" i="20"/>
  <c r="Y21" i="12"/>
  <c r="AE49" i="9" s="1"/>
  <c r="AE62" i="9" s="1"/>
  <c r="Z20" i="12"/>
  <c r="Z22" i="12" s="1"/>
  <c r="AE3" i="20"/>
  <c r="AE3" i="2"/>
  <c r="AE56" i="9" l="1"/>
  <c r="AE67" i="9"/>
  <c r="AE61" i="9"/>
  <c r="AF7" i="20" s="1"/>
  <c r="AE68" i="9"/>
  <c r="AE55" i="9"/>
  <c r="AF6" i="2" s="1"/>
  <c r="AE59" i="9"/>
  <c r="AF9" i="2" s="1"/>
  <c r="AE53" i="9"/>
  <c r="AF4" i="2" s="1"/>
  <c r="AE66" i="9"/>
  <c r="AF3" i="20"/>
  <c r="AF3" i="2"/>
  <c r="AF7" i="2"/>
  <c r="AF8" i="20"/>
  <c r="AF61" i="9"/>
  <c r="AG7" i="20" s="1"/>
  <c r="Z21" i="12"/>
  <c r="AF49" i="9" s="1"/>
  <c r="AF62" i="9" s="1"/>
  <c r="AA20" i="12"/>
  <c r="AA22" i="12" s="1"/>
  <c r="AH27" i="2"/>
  <c r="AH75" i="9"/>
  <c r="AF5" i="2"/>
  <c r="AF5" i="20"/>
  <c r="AF9" i="20"/>
  <c r="AF8" i="2"/>
  <c r="AF68" i="9" l="1"/>
  <c r="AF4" i="20"/>
  <c r="AF58" i="9"/>
  <c r="AF65" i="9"/>
  <c r="AF56" i="9"/>
  <c r="AG3" i="20" s="1"/>
  <c r="AF55" i="9"/>
  <c r="AF67" i="9"/>
  <c r="AF10" i="20"/>
  <c r="AF57" i="9"/>
  <c r="AG7" i="2" s="1"/>
  <c r="AF59" i="9"/>
  <c r="AF53" i="9"/>
  <c r="AG4" i="20" s="1"/>
  <c r="AF6" i="20"/>
  <c r="AF54" i="9"/>
  <c r="AG5" i="2" s="1"/>
  <c r="AF66" i="9"/>
  <c r="AG6" i="2"/>
  <c r="AG6" i="20"/>
  <c r="AG8" i="20"/>
  <c r="AG9" i="20"/>
  <c r="AG8" i="2"/>
  <c r="AG9" i="2"/>
  <c r="AG10" i="20"/>
  <c r="AI27" i="2"/>
  <c r="AI75" i="9"/>
  <c r="AG4" i="2"/>
  <c r="AA21" i="12"/>
  <c r="AG49" i="9" s="1"/>
  <c r="AG62" i="9" s="1"/>
  <c r="AB20" i="12"/>
  <c r="AB22" i="12" s="1"/>
  <c r="AG5" i="20"/>
  <c r="AG67" i="9" l="1"/>
  <c r="AG65" i="9"/>
  <c r="AG66" i="9"/>
  <c r="AG3" i="2"/>
  <c r="AG61" i="9"/>
  <c r="AH7" i="20" s="1"/>
  <c r="AG56" i="9"/>
  <c r="AH3" i="2" s="1"/>
  <c r="AG59" i="9"/>
  <c r="AH9" i="2" s="1"/>
  <c r="AG58" i="9"/>
  <c r="AH9" i="20" s="1"/>
  <c r="AG53" i="9"/>
  <c r="AG54" i="9"/>
  <c r="AG68" i="9"/>
  <c r="AG55" i="9"/>
  <c r="AH6" i="2" s="1"/>
  <c r="AG57" i="9"/>
  <c r="AH7" i="2" s="1"/>
  <c r="AH4" i="2"/>
  <c r="AH4" i="20"/>
  <c r="AH5" i="2"/>
  <c r="AH5" i="20"/>
  <c r="AJ27" i="2"/>
  <c r="AJ75" i="9"/>
  <c r="AB21" i="12"/>
  <c r="AH49" i="9" s="1"/>
  <c r="AH62" i="9" s="1"/>
  <c r="AC20" i="12"/>
  <c r="AC22" i="12" s="1"/>
  <c r="AH6" i="20"/>
  <c r="AH57" i="9" l="1"/>
  <c r="AH3" i="20"/>
  <c r="AH8" i="2"/>
  <c r="AH58" i="9"/>
  <c r="AH56" i="9"/>
  <c r="AI3" i="20" s="1"/>
  <c r="AH66" i="9"/>
  <c r="AH55" i="9"/>
  <c r="AI6" i="2" s="1"/>
  <c r="AH67" i="9"/>
  <c r="AH61" i="9"/>
  <c r="AI7" i="20" s="1"/>
  <c r="AH68" i="9"/>
  <c r="AH59" i="9"/>
  <c r="AH8" i="20"/>
  <c r="AH10" i="20"/>
  <c r="AH54" i="9"/>
  <c r="AI5" i="2" s="1"/>
  <c r="AH65" i="9"/>
  <c r="AH53" i="9"/>
  <c r="AI4" i="20" s="1"/>
  <c r="AI9" i="2"/>
  <c r="AI10" i="20"/>
  <c r="AI66" i="9"/>
  <c r="AI57" i="9"/>
  <c r="AI9" i="20"/>
  <c r="AI8" i="2"/>
  <c r="AC21" i="12"/>
  <c r="AI49" i="9" s="1"/>
  <c r="AI62" i="9" s="1"/>
  <c r="AD20" i="12"/>
  <c r="AD22" i="12" s="1"/>
  <c r="AI4" i="2"/>
  <c r="AI7" i="2"/>
  <c r="AI8" i="20"/>
  <c r="AK27" i="2"/>
  <c r="AK75" i="9"/>
  <c r="AI6" i="20"/>
  <c r="AI61" i="9" l="1"/>
  <c r="AJ7" i="20" s="1"/>
  <c r="AI5" i="20"/>
  <c r="AI56" i="9"/>
  <c r="AI68" i="9"/>
  <c r="AI65" i="9"/>
  <c r="AI55" i="9"/>
  <c r="AI3" i="2"/>
  <c r="AI53" i="9"/>
  <c r="AJ4" i="20" s="1"/>
  <c r="AI58" i="9"/>
  <c r="AI67" i="9"/>
  <c r="AI54" i="9"/>
  <c r="AI59" i="9"/>
  <c r="AE20" i="12"/>
  <c r="AE22" i="12" s="1"/>
  <c r="AD21" i="12"/>
  <c r="AJ49" i="9" s="1"/>
  <c r="AJ62" i="9" s="1"/>
  <c r="AJ66" i="9"/>
  <c r="AJ57" i="9"/>
  <c r="AJ5" i="20"/>
  <c r="AJ5" i="2"/>
  <c r="AL27" i="2"/>
  <c r="AL75" i="9"/>
  <c r="AJ8" i="2"/>
  <c r="AJ9" i="20"/>
  <c r="AJ3" i="20"/>
  <c r="AJ3" i="2"/>
  <c r="AJ6" i="20"/>
  <c r="AJ6" i="2"/>
  <c r="AJ7" i="2"/>
  <c r="AJ8" i="20"/>
  <c r="AJ9" i="2"/>
  <c r="AJ10" i="20"/>
  <c r="AJ61" i="9" l="1"/>
  <c r="AK7" i="20" s="1"/>
  <c r="AJ65" i="9"/>
  <c r="AJ4" i="2"/>
  <c r="AJ54" i="9"/>
  <c r="AJ67" i="9"/>
  <c r="AJ58" i="9"/>
  <c r="AK9" i="20" s="1"/>
  <c r="AJ68" i="9"/>
  <c r="AJ53" i="9"/>
  <c r="AJ55" i="9"/>
  <c r="AJ56" i="9"/>
  <c r="AK3" i="20" s="1"/>
  <c r="AJ59" i="9"/>
  <c r="AK3" i="2"/>
  <c r="AM27" i="2"/>
  <c r="AM75" i="9"/>
  <c r="AK56" i="9"/>
  <c r="AK5" i="2"/>
  <c r="AK5" i="20"/>
  <c r="AK6" i="2"/>
  <c r="AK6" i="20"/>
  <c r="AK7" i="2"/>
  <c r="AK8" i="20"/>
  <c r="AK9" i="2"/>
  <c r="AK10" i="20"/>
  <c r="AK8" i="2"/>
  <c r="AK4" i="2"/>
  <c r="AK4" i="20"/>
  <c r="AF20" i="12"/>
  <c r="AF22" i="12" s="1"/>
  <c r="AE21" i="12"/>
  <c r="AK49" i="9" s="1"/>
  <c r="AK62" i="9" s="1"/>
  <c r="AK65" i="9" l="1"/>
  <c r="AK68" i="9"/>
  <c r="AK58" i="9"/>
  <c r="AK54" i="9"/>
  <c r="AK57" i="9"/>
  <c r="AL7" i="2" s="1"/>
  <c r="AK67" i="9"/>
  <c r="AK55" i="9"/>
  <c r="AL6" i="2" s="1"/>
  <c r="AK61" i="9"/>
  <c r="AL7" i="20" s="1"/>
  <c r="AK59" i="9"/>
  <c r="AK53" i="9"/>
  <c r="AK66" i="9"/>
  <c r="AL9" i="2"/>
  <c r="AL10" i="20"/>
  <c r="AL66" i="9"/>
  <c r="AL59" i="9"/>
  <c r="AL61" i="9"/>
  <c r="AM7" i="20" s="1"/>
  <c r="AL55" i="9"/>
  <c r="AL53" i="9"/>
  <c r="AG20" i="12"/>
  <c r="AG22" i="12" s="1"/>
  <c r="AF21" i="12"/>
  <c r="AL49" i="9" s="1"/>
  <c r="AL62" i="9" s="1"/>
  <c r="AL4" i="2"/>
  <c r="AL4" i="20"/>
  <c r="AL8" i="2"/>
  <c r="AL9" i="20"/>
  <c r="AL3" i="20"/>
  <c r="AL3" i="2"/>
  <c r="AN27" i="2"/>
  <c r="D75" i="9"/>
  <c r="C75" i="9"/>
  <c r="E75" i="9"/>
  <c r="AL5" i="2"/>
  <c r="AL5" i="20"/>
  <c r="AL58" i="9" l="1"/>
  <c r="A22" i="12"/>
  <c r="B22" i="12"/>
  <c r="AL65" i="9"/>
  <c r="AL54" i="9"/>
  <c r="AL68" i="9"/>
  <c r="AL8" i="20"/>
  <c r="AL6" i="20"/>
  <c r="AL56" i="9"/>
  <c r="AL57" i="9"/>
  <c r="AM7" i="2" s="1"/>
  <c r="AL67" i="9"/>
  <c r="AM6" i="2"/>
  <c r="AM6" i="20"/>
  <c r="AM9" i="2"/>
  <c r="AM10" i="20"/>
  <c r="AM8" i="20"/>
  <c r="AM5" i="20"/>
  <c r="AM5" i="2"/>
  <c r="AM3" i="2"/>
  <c r="AM3" i="20"/>
  <c r="AM4" i="2"/>
  <c r="AM4" i="20"/>
  <c r="E27" i="2"/>
  <c r="D27" i="2"/>
  <c r="F27" i="2"/>
  <c r="C27" i="2"/>
  <c r="AG21" i="12"/>
  <c r="A20" i="12"/>
  <c r="B20" i="12"/>
  <c r="AM9" i="20"/>
  <c r="AM8" i="2"/>
  <c r="AM49" i="9" l="1"/>
  <c r="A21" i="12"/>
  <c r="B21" i="12"/>
  <c r="C57" i="17"/>
  <c r="C36" i="17"/>
  <c r="E57" i="17"/>
  <c r="E36" i="17"/>
  <c r="D57" i="17"/>
  <c r="D36" i="17"/>
  <c r="B36" i="17"/>
  <c r="B57" i="17"/>
  <c r="B59" i="17" s="1"/>
  <c r="AN49" i="9" l="1"/>
  <c r="AM62" i="9"/>
  <c r="AM53" i="9"/>
  <c r="AM58" i="9"/>
  <c r="AM66" i="9"/>
  <c r="H66" i="9" s="1"/>
  <c r="AM57" i="9"/>
  <c r="AM59" i="9"/>
  <c r="AM56" i="9"/>
  <c r="AM61" i="9"/>
  <c r="AN7" i="20" s="1"/>
  <c r="F7" i="20" s="1"/>
  <c r="AM54" i="9"/>
  <c r="AM67" i="9"/>
  <c r="AM68" i="9"/>
  <c r="AM65" i="9"/>
  <c r="AM55" i="9"/>
  <c r="C59" i="17"/>
  <c r="AN10" i="20" l="1"/>
  <c r="F10" i="20" s="1"/>
  <c r="AN9" i="2"/>
  <c r="AN6" i="20"/>
  <c r="F6" i="20" s="1"/>
  <c r="AN6" i="2"/>
  <c r="AN7" i="2"/>
  <c r="AN8" i="20"/>
  <c r="B72" i="17"/>
  <c r="H71" i="9"/>
  <c r="AN9" i="20"/>
  <c r="F9" i="20" s="1"/>
  <c r="B32" i="17" s="1"/>
  <c r="B63" i="17" s="1"/>
  <c r="B64" i="17" s="1"/>
  <c r="AN8" i="2"/>
  <c r="AN4" i="2"/>
  <c r="AN4" i="20"/>
  <c r="F4" i="20" s="1"/>
  <c r="AN5" i="2"/>
  <c r="AN5" i="20"/>
  <c r="F5" i="20" s="1"/>
  <c r="B84" i="17" s="1"/>
  <c r="AN3" i="20"/>
  <c r="F3" i="20" s="1"/>
  <c r="AN3" i="2"/>
  <c r="AN58" i="9"/>
  <c r="AN62" i="9"/>
  <c r="AN65" i="9"/>
  <c r="H65" i="9" s="1"/>
  <c r="AN53" i="9"/>
  <c r="AN66" i="9"/>
  <c r="AN54" i="9"/>
  <c r="AN59" i="9"/>
  <c r="AN67" i="9"/>
  <c r="H67" i="9" s="1"/>
  <c r="AN55" i="9"/>
  <c r="AN68" i="9"/>
  <c r="H68" i="9" s="1"/>
  <c r="AN57" i="9"/>
  <c r="AN61" i="9"/>
  <c r="AN56" i="9"/>
  <c r="F19" i="20"/>
  <c r="B23" i="17"/>
  <c r="B49" i="17"/>
  <c r="B22" i="17"/>
  <c r="B50" i="17"/>
  <c r="B41" i="17"/>
  <c r="B43" i="17" s="1"/>
  <c r="B21" i="17"/>
  <c r="B85" i="17"/>
  <c r="B78" i="17" l="1"/>
  <c r="B80" i="17" s="1"/>
  <c r="B28" i="17"/>
  <c r="F8" i="20"/>
  <c r="B67" i="17" s="1"/>
  <c r="AO5" i="20"/>
  <c r="E54" i="9"/>
  <c r="C54" i="9"/>
  <c r="D54" i="9"/>
  <c r="F5" i="2"/>
  <c r="D5" i="2"/>
  <c r="C5" i="2"/>
  <c r="E5" i="2"/>
  <c r="C7" i="2"/>
  <c r="F7" i="2"/>
  <c r="D7" i="2"/>
  <c r="E7" i="2"/>
  <c r="E6" i="2"/>
  <c r="F6" i="2"/>
  <c r="C6" i="2"/>
  <c r="D6" i="2"/>
  <c r="C3" i="2"/>
  <c r="E3" i="2"/>
  <c r="D3" i="2"/>
  <c r="F3" i="2"/>
  <c r="AO4" i="20"/>
  <c r="D53" i="9"/>
  <c r="E53" i="9"/>
  <c r="C53" i="9"/>
  <c r="AO8" i="20"/>
  <c r="D57" i="9"/>
  <c r="E57" i="9"/>
  <c r="C57" i="9"/>
  <c r="H70" i="9"/>
  <c r="B71" i="17"/>
  <c r="E4" i="2"/>
  <c r="D4" i="2"/>
  <c r="F4" i="2"/>
  <c r="C4" i="2"/>
  <c r="AO7" i="20"/>
  <c r="E61" i="9"/>
  <c r="D61" i="9"/>
  <c r="C61" i="9"/>
  <c r="H73" i="9"/>
  <c r="B74" i="17"/>
  <c r="D62" i="9"/>
  <c r="E62" i="9"/>
  <c r="C62" i="9"/>
  <c r="E8" i="2"/>
  <c r="F8" i="2"/>
  <c r="D8" i="2"/>
  <c r="E59" i="17" s="1"/>
  <c r="C8" i="2"/>
  <c r="D59" i="17" s="1"/>
  <c r="D9" i="2"/>
  <c r="E9" i="2"/>
  <c r="C9" i="2"/>
  <c r="F9" i="2"/>
  <c r="H72" i="9"/>
  <c r="B73" i="17"/>
  <c r="AO10" i="20"/>
  <c r="E59" i="9"/>
  <c r="D59" i="9"/>
  <c r="C59" i="9"/>
  <c r="AO3" i="20"/>
  <c r="D56" i="9"/>
  <c r="E56" i="9"/>
  <c r="C56" i="9"/>
  <c r="AO6" i="20"/>
  <c r="C55" i="9"/>
  <c r="E55" i="9"/>
  <c r="D55" i="9"/>
  <c r="AO9" i="20"/>
  <c r="C58" i="9"/>
  <c r="E58" i="9"/>
  <c r="D58" i="9"/>
  <c r="B52" i="17"/>
  <c r="B24" i="17"/>
  <c r="B86" i="17"/>
  <c r="E7" i="20" l="1"/>
  <c r="C7" i="20"/>
  <c r="D7" i="20"/>
  <c r="D16" i="2"/>
  <c r="D4" i="17" s="1"/>
  <c r="E16" i="2"/>
  <c r="B4" i="17" s="1"/>
  <c r="E8" i="20"/>
  <c r="C67" i="17" s="1"/>
  <c r="D8" i="20"/>
  <c r="E67" i="17" s="1"/>
  <c r="C8" i="20"/>
  <c r="D67" i="17" s="1"/>
  <c r="C16" i="2"/>
  <c r="C4" i="17" s="1"/>
  <c r="D5" i="20"/>
  <c r="E5" i="20"/>
  <c r="C5" i="20"/>
  <c r="D9" i="20"/>
  <c r="E32" i="17" s="1"/>
  <c r="E63" i="17" s="1"/>
  <c r="E64" i="17" s="1"/>
  <c r="E9" i="20"/>
  <c r="C32" i="17" s="1"/>
  <c r="C63" i="17" s="1"/>
  <c r="C64" i="17" s="1"/>
  <c r="C9" i="20"/>
  <c r="D32" i="17" s="1"/>
  <c r="D63" i="17" s="1"/>
  <c r="D64" i="17" s="1"/>
  <c r="D6" i="20"/>
  <c r="E6" i="20"/>
  <c r="C6" i="20"/>
  <c r="E10" i="20"/>
  <c r="D10" i="20"/>
  <c r="C10" i="20"/>
  <c r="E3" i="20"/>
  <c r="C3" i="20"/>
  <c r="D3" i="20"/>
  <c r="E4" i="20"/>
  <c r="C4" i="20"/>
  <c r="D4" i="20"/>
  <c r="E49" i="17" l="1"/>
  <c r="E23" i="17"/>
  <c r="C19" i="20"/>
  <c r="C13" i="17" s="1"/>
  <c r="D28" i="17"/>
  <c r="D78" i="17"/>
  <c r="D80" i="17" s="1"/>
  <c r="C28" i="17"/>
  <c r="E19" i="20"/>
  <c r="B13" i="17" s="1"/>
  <c r="C78" i="17"/>
  <c r="C80" i="17" s="1"/>
  <c r="D50" i="17"/>
  <c r="D41" i="17"/>
  <c r="D43" i="17" s="1"/>
  <c r="B7" i="17"/>
  <c r="B6" i="17"/>
  <c r="E50" i="17"/>
  <c r="E41" i="17"/>
  <c r="E43" i="17" s="1"/>
  <c r="D22" i="17"/>
  <c r="D84" i="17"/>
  <c r="D86" i="17" s="1"/>
  <c r="D6" i="17"/>
  <c r="D7" i="17"/>
  <c r="E21" i="17"/>
  <c r="E85" i="17"/>
  <c r="C41" i="17"/>
  <c r="C43" i="17" s="1"/>
  <c r="C50" i="17"/>
  <c r="C22" i="17"/>
  <c r="C84" i="17"/>
  <c r="D19" i="20"/>
  <c r="D13" i="17" s="1"/>
  <c r="E28" i="17"/>
  <c r="E78" i="17"/>
  <c r="E80" i="17" s="1"/>
  <c r="D21" i="17"/>
  <c r="D85" i="17"/>
  <c r="D49" i="17"/>
  <c r="D23" i="17"/>
  <c r="E22" i="17"/>
  <c r="E84" i="17"/>
  <c r="C85" i="17"/>
  <c r="C21" i="17"/>
  <c r="C23" i="17"/>
  <c r="C49" i="17"/>
  <c r="C7" i="17"/>
  <c r="C6" i="17"/>
  <c r="D24" i="17" l="1"/>
  <c r="E86" i="17"/>
  <c r="C15" i="17"/>
  <c r="C16" i="17"/>
  <c r="B16" i="17"/>
  <c r="B15" i="17"/>
  <c r="C52" i="17"/>
  <c r="E24" i="17"/>
  <c r="C86" i="17"/>
  <c r="C24" i="17"/>
  <c r="D15" i="17"/>
  <c r="D16" i="17"/>
  <c r="D52" i="17"/>
  <c r="E52" i="17"/>
</calcChain>
</file>

<file path=xl/sharedStrings.xml><?xml version="1.0" encoding="utf-8"?>
<sst xmlns="http://schemas.openxmlformats.org/spreadsheetml/2006/main" count="929" uniqueCount="481">
  <si>
    <t>PACKER AVENUE MARINE TERMINAL CONNECTOR BRIDGE PROJECT</t>
  </si>
  <si>
    <t>Benefit-Cost Analysis</t>
  </si>
  <si>
    <t>Location: Philadelphia, Pennsylvania</t>
  </si>
  <si>
    <t>BCA Guidance: Benefit-Cost Analysis Guidance for Discretionary Grant Programs (U.S. Department of Transportation, January 2023)</t>
  </si>
  <si>
    <t>Date: February 22, 2023</t>
  </si>
  <si>
    <t>Sheet Name + Link</t>
  </si>
  <si>
    <t>Description</t>
  </si>
  <si>
    <t>Calculations or Source Document, File Name, Email, etc.</t>
  </si>
  <si>
    <t>Summary Tables</t>
  </si>
  <si>
    <t xml:space="preserve">Summary tables of BCA results. These tables are included in the BCA narrative document. </t>
  </si>
  <si>
    <t>Rounding and formatting calculations for report tables</t>
  </si>
  <si>
    <t>30yr Horizion_noshipping</t>
  </si>
  <si>
    <t xml:space="preserve">Benefits and costs calculations not including shipping costs savings based on 30 year time horizon (through 2055). </t>
  </si>
  <si>
    <t xml:space="preserve">Benefit and cost calculations summed over 30 year time frame (through 2055) based on updated project costs and reduced VMTs. Totals do not include shipping costs savings. </t>
  </si>
  <si>
    <t xml:space="preserve">Traffic_Reduced port VMT </t>
  </si>
  <si>
    <t xml:space="preserve">Reduced traffic benefits calculations related to port VMT, including emissions reductions, cost-savings, and safety. </t>
  </si>
  <si>
    <t xml:space="preserve">Benefits calculated based on updated BCA guidance for emissions costs per metric ton. </t>
  </si>
  <si>
    <t xml:space="preserve">Traffic_Reduced highway VMT </t>
  </si>
  <si>
    <t xml:space="preserve">Reduced traffic benefits calculations related to highway VMT, including emissions reductions, cost-savings, and safety. </t>
  </si>
  <si>
    <t xml:space="preserve">Benefits calculated based on updated BCA guidance for emissions  costs per metric ton. </t>
  </si>
  <si>
    <t xml:space="preserve">Air Quality </t>
  </si>
  <si>
    <t xml:space="preserve">Cost of increased emissions from expanded capacity. </t>
  </si>
  <si>
    <t xml:space="preserve">Emissions costs calculations based on BCA guidance for emissions. </t>
  </si>
  <si>
    <t>References&gt;</t>
  </si>
  <si>
    <t>BCA Values</t>
  </si>
  <si>
    <t>2023 BCA valuation of emissions, accidents, inflation adjustments, etc. for 2023.</t>
  </si>
  <si>
    <r>
      <rPr>
        <sz val="11"/>
        <rFont val="Calibri"/>
        <family val="2"/>
        <scheme val="minor"/>
      </rPr>
      <t xml:space="preserve"> Valuations are based on U.S.D.O.T. January 2023 BCA Guidance: </t>
    </r>
    <r>
      <rPr>
        <u/>
        <sz val="11"/>
        <color theme="10"/>
        <rFont val="Calibri"/>
        <family val="2"/>
        <scheme val="minor"/>
      </rPr>
      <t>Benefit Cost Analysis Guidance 2023 Update.pdf (transportation.gov)</t>
    </r>
  </si>
  <si>
    <t>Project Information</t>
  </si>
  <si>
    <t xml:space="preserve">Contains details and estimates of project benefits including increased container capacity, iproved container flow, and lower operating costs related to the PAMT Connector Bridge. </t>
  </si>
  <si>
    <t xml:space="preserve">Estimates were provided by Philaport. </t>
  </si>
  <si>
    <t>Updated Project Costs</t>
  </si>
  <si>
    <t xml:space="preserve">Contains updated contruction expenditure for project through completion in 2025. </t>
  </si>
  <si>
    <t xml:space="preserve">Project cost is sum of estimates with tax included. </t>
  </si>
  <si>
    <t>Crash stats</t>
  </si>
  <si>
    <t>Contains fatality, injury, and property damage crashes rate per 100 million VMT.</t>
  </si>
  <si>
    <r>
      <t xml:space="preserve">Valuations are based on U.S.D.O.T. Traffic Fatalities and Motor Vehicle Crashes estimates: </t>
    </r>
    <r>
      <rPr>
        <u/>
        <sz val="11"/>
        <color theme="1"/>
        <rFont val="Calibri"/>
        <family val="2"/>
        <scheme val="minor"/>
      </rPr>
      <t>2020 Data: Summary of Motor Vehicle Crashes (dot.gov)</t>
    </r>
    <r>
      <rPr>
        <sz val="11"/>
        <color theme="1"/>
        <rFont val="Calibri"/>
        <family val="2"/>
        <scheme val="minor"/>
      </rPr>
      <t xml:space="preserve">, </t>
    </r>
    <r>
      <rPr>
        <u/>
        <sz val="11"/>
        <color theme="1"/>
        <rFont val="Calibri"/>
        <family val="2"/>
        <scheme val="minor"/>
      </rPr>
      <t>Crash Stats: Early Estimate of Motor Vehicle Traffic Fatalities for the First Half (January – June) of 2022 (dot.gov)</t>
    </r>
  </si>
  <si>
    <t>project benefits_PAMT_pubbridge</t>
  </si>
  <si>
    <t xml:space="preserve">Average VMT per container unit based on 30,000 project capacity. </t>
  </si>
  <si>
    <t>Source document with assumptions on increase CU capacity and reduced VMT calculations</t>
  </si>
  <si>
    <t>Total reduced terminal VMT</t>
  </si>
  <si>
    <t>On-terminal reduced VMT</t>
  </si>
  <si>
    <t>Source document</t>
  </si>
  <si>
    <t>Emissions</t>
  </si>
  <si>
    <t xml:space="preserve">Results from updated emissions model. </t>
  </si>
  <si>
    <t>Source document for increased emissions resulting from future port activity</t>
  </si>
  <si>
    <t>Archived&gt;</t>
  </si>
  <si>
    <t>30yr Horizion_shipping</t>
  </si>
  <si>
    <t xml:space="preserve">Benefits and costs calculations including shipping costs savings based on 30 year time horizion (through 2055). </t>
  </si>
  <si>
    <t xml:space="preserve">Calculated benefits and costs summed over 30 year time frame (through 2055) based on updated project costs and reduced VMTs. </t>
  </si>
  <si>
    <t>Project Costs</t>
  </si>
  <si>
    <t>Total budgetary hard and soft costs for Connector Bridge.</t>
  </si>
  <si>
    <t>Sum of mobilization/demobilization, demolition, sub-structure, super-structure, electrical, permits, contingency, as well as total with soft costs.</t>
  </si>
  <si>
    <t>Raise22_capturevolumes</t>
  </si>
  <si>
    <t xml:space="preserve">Updated Twenty-foot equivalent units (TEU) capacity. </t>
  </si>
  <si>
    <t xml:space="preserve">Estimates result of Philaport capture analysis. </t>
  </si>
  <si>
    <t>Table 2 - Benefit Cost Summary</t>
  </si>
  <si>
    <t>Metric</t>
  </si>
  <si>
    <t>Nominal Sum</t>
  </si>
  <si>
    <t>Present Value (3%)</t>
  </si>
  <si>
    <t>Present Value (7%)</t>
  </si>
  <si>
    <t>Present Value of Benefits</t>
  </si>
  <si>
    <t>Present Value of Costs</t>
  </si>
  <si>
    <t>Net Present Value</t>
  </si>
  <si>
    <t>Benefit / Cost Ratio</t>
  </si>
  <si>
    <t>Benefit Type</t>
  </si>
  <si>
    <t>Average Annual Value</t>
  </si>
  <si>
    <t>Nominal Value</t>
  </si>
  <si>
    <t>3% Discount Value</t>
  </si>
  <si>
    <t>7% Discount Value</t>
  </si>
  <si>
    <t>Avoided Fatal Crashes</t>
  </si>
  <si>
    <t>Avoided Crashes Causing Injury</t>
  </si>
  <si>
    <t>Avoided Property-Damage-Only Crashes</t>
  </si>
  <si>
    <t>Total</t>
  </si>
  <si>
    <t>Reduced Vehicle Miles Traveled</t>
  </si>
  <si>
    <t>Reduced Congestion</t>
  </si>
  <si>
    <t>Reduced Shipping Costs</t>
  </si>
  <si>
    <t>Reduced Vehicle Wear and Tear</t>
  </si>
  <si>
    <t>Reduced Road Wear and Tear</t>
  </si>
  <si>
    <t>Reduced Maintenance Cost of Existing Bridge</t>
  </si>
  <si>
    <t>State of Good Repair Benefit Cost Summary</t>
  </si>
  <si>
    <t>STATE OF GOOD REPAIR</t>
  </si>
  <si>
    <t>Reduced Truck Maintenance Expenses</t>
  </si>
  <si>
    <t>Reduced Truck Accidents</t>
  </si>
  <si>
    <t>Reduced Road Maintenance Costs</t>
  </si>
  <si>
    <t>Reduced Port Maintenance Costs</t>
  </si>
  <si>
    <t>Economic Competitiveness Benefit Cost Summary</t>
  </si>
  <si>
    <t>ECONOMIC COMPETITIVENESS</t>
  </si>
  <si>
    <t>Fuel Cost Savings</t>
  </si>
  <si>
    <t>Improved Mobility and Community Connectivity Benefit Cost Summary</t>
  </si>
  <si>
    <t>Quality of Life Benefit Cost Summary</t>
  </si>
  <si>
    <t>Reduced traffic noise</t>
  </si>
  <si>
    <t>NOx</t>
  </si>
  <si>
    <t>SOx</t>
  </si>
  <si>
    <t>CO2</t>
  </si>
  <si>
    <t>PM2.5</t>
  </si>
  <si>
    <t>Environmental Sustainability Benefit Cost Summary</t>
  </si>
  <si>
    <t>ENVIRONMENTAL SUSTAINABILITY</t>
  </si>
  <si>
    <t>VMT pollution reduction</t>
  </si>
  <si>
    <t>Pollution from increased vessels</t>
  </si>
  <si>
    <t>Safety Benefit Cost Summary</t>
  </si>
  <si>
    <t>SAFETY</t>
  </si>
  <si>
    <t>Reduced injury accidents</t>
  </si>
  <si>
    <t>Reduced traffic fatalities</t>
  </si>
  <si>
    <t>Benefit</t>
  </si>
  <si>
    <t>Tab</t>
  </si>
  <si>
    <t>All Years (3%)</t>
  </si>
  <si>
    <t>All Years (7%)</t>
  </si>
  <si>
    <t>Average</t>
  </si>
  <si>
    <t>Reduced VMT - Air pollution</t>
  </si>
  <si>
    <t>Traffic_Reduced highway VMT</t>
  </si>
  <si>
    <t>Reduced VMT - Fatal Accidents Avoided</t>
  </si>
  <si>
    <t>Reduced VMT - Injury Accidents Avoided</t>
  </si>
  <si>
    <t>Reduced VMT - Property Damage Accidents Avoided</t>
  </si>
  <si>
    <t>Reduced vehicle operating/maintenance costs- reduced VMT highway</t>
  </si>
  <si>
    <t>Reduced Noise</t>
  </si>
  <si>
    <t xml:space="preserve">Reduced Congestion </t>
  </si>
  <si>
    <t>Infrastructure Costs</t>
  </si>
  <si>
    <t>Vehicle Operating Costs Savings - inside port</t>
  </si>
  <si>
    <t>Traffic_Reduced port VMT</t>
  </si>
  <si>
    <t>Fuel Cost Savings - inside port</t>
  </si>
  <si>
    <t>Emissions reduction - inside port</t>
  </si>
  <si>
    <t>Reduced VMT - Fatal Accidents Avoided inside port</t>
  </si>
  <si>
    <t>Reduced VMT - Injury Accidents Avoided inside port</t>
  </si>
  <si>
    <t>Reduced VMT - Property Damage Accidents Avoided inside port</t>
  </si>
  <si>
    <t>Residual Value</t>
  </si>
  <si>
    <t>Calculated on this tab</t>
  </si>
  <si>
    <t>State of good repair - reduced maintenance costs for existing bridge</t>
  </si>
  <si>
    <t>Costs</t>
  </si>
  <si>
    <t>Budgetary cost of bridge (includes estimated soft costs).</t>
  </si>
  <si>
    <t>Increased Emissions - port activity</t>
  </si>
  <si>
    <t>Air Quality</t>
  </si>
  <si>
    <t>Operations and Maintenance cost of bridge</t>
  </si>
  <si>
    <t>Reduced VMT - inside port</t>
  </si>
  <si>
    <t>Average Fuel Efficiency (mpg)1</t>
  </si>
  <si>
    <t>Average Price of Gas2</t>
  </si>
  <si>
    <t>Reduced VMTs</t>
  </si>
  <si>
    <t xml:space="preserve">Source: </t>
  </si>
  <si>
    <t>1- Average of short and long wheel base light duty vehicles from: https://www.bts.gov/content/average-fuel-efficiency-us-light-duty-vehicles</t>
  </si>
  <si>
    <t>2 - Used the annual average price per gallon for the Central Atlantic Region for 2021 from: https://www.eia.gov/dnav/pet/pet_pri_gnd_a_epm0_pte_dpgal_a.htm</t>
  </si>
  <si>
    <t>Vehicle Operating Costs Savings</t>
  </si>
  <si>
    <t>Average Vehicle Operations Cost (Light Duty)</t>
  </si>
  <si>
    <t>Average Vehicle Operations Cost (Commercial)</t>
  </si>
  <si>
    <t>Source:</t>
  </si>
  <si>
    <t>BCA Guidance</t>
  </si>
  <si>
    <t>Reduction in Emissions from Reduced VMT</t>
  </si>
  <si>
    <t>Emission Type</t>
  </si>
  <si>
    <t>Amount Reduced (grams per mile, operational)</t>
  </si>
  <si>
    <t>Amount (metric tons)</t>
  </si>
  <si>
    <t>Amount Reduced (grams per mile, non-operational )</t>
  </si>
  <si>
    <t>Table 4-43:  Estimated National Average Vehicle Emissions Rates per Vehicle by Vehicle Type using Gasoline and Diesel (Grams per mile)</t>
  </si>
  <si>
    <t>CO2 - average passenger vehicle https://www.epa.gov/greenvehicles/greenhouse-gas-emissions-typical-passenger-vehicle</t>
  </si>
  <si>
    <t>Safety - reduction in accidents</t>
  </si>
  <si>
    <t>Non-Fatal Accidents per VMT</t>
  </si>
  <si>
    <t>Fatal accidents per VMT</t>
  </si>
  <si>
    <t>Property Damage Accidents per VMT</t>
  </si>
  <si>
    <t>Source: National Highway Traffic Safety Administration, Crash Stats</t>
  </si>
  <si>
    <t>On-Terminal VMT</t>
  </si>
  <si>
    <t>VMT/yr</t>
  </si>
  <si>
    <t>Saved VMT</t>
  </si>
  <si>
    <t>New VMT</t>
  </si>
  <si>
    <t>NOx annual values</t>
  </si>
  <si>
    <t xml:space="preserve"> </t>
  </si>
  <si>
    <t>CO2 annual values</t>
  </si>
  <si>
    <t>PM2.5 annual values</t>
  </si>
  <si>
    <t>Emissions reduction</t>
  </si>
  <si>
    <t>Fatal accidents avoided</t>
  </si>
  <si>
    <t>Non-Fatal accidents avoided</t>
  </si>
  <si>
    <t>Property Damage accidents avoided</t>
  </si>
  <si>
    <t>Reduced VMT - highway (as a result of more containers getting to Philadelphia, closer to their final destination)</t>
  </si>
  <si>
    <t>Reduced VMT</t>
  </si>
  <si>
    <t>Reference</t>
  </si>
  <si>
    <t>Annual Vehical Miles Traveled (VMT) Reduced - outside terminal</t>
  </si>
  <si>
    <t>hinterland study, provided by PhilaPort</t>
  </si>
  <si>
    <t>Unit Value (Metric ton)</t>
  </si>
  <si>
    <t>Amount Reduced (grams per mile, non-operational)</t>
  </si>
  <si>
    <t>n/a</t>
  </si>
  <si>
    <t>Reduced Oil Dependence/Consumption</t>
  </si>
  <si>
    <t>Assumptions</t>
  </si>
  <si>
    <t>Value</t>
  </si>
  <si>
    <t>Source</t>
  </si>
  <si>
    <t>Gallons/Barrel</t>
  </si>
  <si>
    <t>Government data provided at http://www.eia.doe.gov/dnav/pet/pet_pnp_pct_dc_nus_pct_m.htm</t>
  </si>
  <si>
    <t>Gasoline/Barrel</t>
  </si>
  <si>
    <t>Percent of Oil Imported (NOTE - the US was a net EXPORTER of petroleum in 2021)</t>
  </si>
  <si>
    <t>Government data provided at http://www.eia.gov/tools/faqs/faq.cfm?id=32&amp;t=6</t>
  </si>
  <si>
    <t>Diesel/Barrel</t>
  </si>
  <si>
    <t>Infrastructure costs</t>
  </si>
  <si>
    <t>40-50000 pounds with 5 axels</t>
  </si>
  <si>
    <t>https://www.cbo.gov/system/files/2019-10/55688-CBO-VMT-Tax.pdf</t>
  </si>
  <si>
    <t>50-60000 pounds with 5 axels</t>
  </si>
  <si>
    <t>Unit benefit (per VMT)</t>
  </si>
  <si>
    <t>VMT reduced</t>
  </si>
  <si>
    <t>Fatal Accidents Avoided</t>
  </si>
  <si>
    <t>Non-Fatal Accidents Avoided</t>
  </si>
  <si>
    <t>Property Damage Accidents Avoided</t>
  </si>
  <si>
    <t>Reduced Emissions</t>
  </si>
  <si>
    <t>Vehicle Operating Cost Savings</t>
  </si>
  <si>
    <t xml:space="preserve">Shipping Cost Savings </t>
  </si>
  <si>
    <t>Air Quality Costs</t>
  </si>
  <si>
    <t>Value of emissions (2021 values)</t>
  </si>
  <si>
    <t>Costs - increased emissions from expanded capacity</t>
  </si>
  <si>
    <t>OGV Emissions</t>
  </si>
  <si>
    <t>Calc</t>
  </si>
  <si>
    <t>NOx estimated cost</t>
  </si>
  <si>
    <t>CO2 estimated cost</t>
  </si>
  <si>
    <t>PM2.5 estimated cost</t>
  </si>
  <si>
    <t>Value of increased emissions</t>
  </si>
  <si>
    <t>Source: Benefit-Cost Analysis Guidance for 
Discretionary Grant Programs, January 2023</t>
  </si>
  <si>
    <t>USDOT recommends that applicants avoid any analysis periods extending beyond 30 years of full operations</t>
  </si>
  <si>
    <t>Benefit Cost Analysis Guidance 2023 Update.pdf</t>
  </si>
  <si>
    <t>Safety/Injuries</t>
  </si>
  <si>
    <t>Traffic</t>
  </si>
  <si>
    <t>Inflation</t>
  </si>
  <si>
    <t>Table A-6: Damage Costs for Emissions per Metric Ton* (pg 40)</t>
  </si>
  <si>
    <t xml:space="preserve">Table A-1: Value of Reduced Fatalities and Injuries (pg 37) </t>
  </si>
  <si>
    <t xml:space="preserve">Table A-3: Value of Travel Time Savings (pg 38) </t>
  </si>
  <si>
    <t xml:space="preserve">Table A-7: Inflation Adjustment Values (pg 41) </t>
  </si>
  <si>
    <t>NOX</t>
  </si>
  <si>
    <t>SOX</t>
  </si>
  <si>
    <t>PM2.5**</t>
  </si>
  <si>
    <t>KABCO Level</t>
  </si>
  <si>
    <t>Monetized Value (2021 $)</t>
  </si>
  <si>
    <t>Recommended Hourly Values of Travel Time Savings (2021 $ per person-hour)</t>
  </si>
  <si>
    <t>Base Year of Nominal Dollar</t>
  </si>
  <si>
    <t>Multiplier to Adjust to Real 2021 $</t>
  </si>
  <si>
    <t>O – No Injury</t>
  </si>
  <si>
    <t>Category</t>
  </si>
  <si>
    <t>Hourly Value</t>
  </si>
  <si>
    <t>C – Possible Injury</t>
  </si>
  <si>
    <t>General Travel Time</t>
  </si>
  <si>
    <t>B – Non-incapacitating</t>
  </si>
  <si>
    <t>Business2</t>
  </si>
  <si>
    <t>A – Incapacitating</t>
  </si>
  <si>
    <t>All Purposes3</t>
  </si>
  <si>
    <t>K – Killed</t>
  </si>
  <si>
    <t>Commercial Vehicle Operators</t>
  </si>
  <si>
    <t>U – Injured (Severity Unknown)</t>
  </si>
  <si>
    <t>Truck Drivers</t>
  </si>
  <si>
    <t># Accidents Reported (Unknown if Injured)</t>
  </si>
  <si>
    <t>Bus Drivers</t>
  </si>
  <si>
    <t>Locomotive Engineers</t>
  </si>
  <si>
    <t>Crash Type</t>
  </si>
  <si>
    <t>2) Weighted average based on a typical distribution of local travel by surface modes (88.2% personal, 11.8% business). Applicants should apply their own distribution of business versus personal travel where such information is available. 3) Note that business travel does not include commuting travel, which should be valued at the personal travel rate. Travel on high-speed rail service that would be competitive with air travel should be valued at $45.30 per hour for personal travel and $79.30 for business travel.</t>
  </si>
  <si>
    <r>
      <t>Injury Crash</t>
    </r>
    <r>
      <rPr>
        <vertAlign val="superscript"/>
        <sz val="11"/>
        <rFont val="Calibri"/>
        <family val="2"/>
        <scheme val="minor"/>
      </rPr>
      <t>1</t>
    </r>
  </si>
  <si>
    <t>Table A-4: Average Vehicle Occupancy Rates for Highway Passenger Vehicles (pg 39)</t>
  </si>
  <si>
    <r>
      <t>Fatal Crash</t>
    </r>
    <r>
      <rPr>
        <vertAlign val="superscript"/>
        <sz val="11"/>
        <rFont val="Calibri"/>
        <family val="2"/>
        <scheme val="minor"/>
      </rPr>
      <t>1</t>
    </r>
  </si>
  <si>
    <t>Vehicle Type</t>
  </si>
  <si>
    <t xml:space="preserve"> Average Occupancy</t>
  </si>
  <si>
    <t>1) Monetization values for injury crashes and fatal crashes are based on an estimate of approximately 1.44 injuries per injury crash and 1.09 fatalities per fatal crash, based on an average of the most recent five years of data in NHTSA’s National Crash Statistics. The fatal crash value is further adjusted for the average number of injuries per fatal crash.</t>
  </si>
  <si>
    <t>Passenger Vehicles (Weekday Peak)1</t>
  </si>
  <si>
    <t>Passenger Vehicles (Weekday Off-Peak)</t>
  </si>
  <si>
    <t>Table A-2: Property Damage Only (PDO) Crashes</t>
  </si>
  <si>
    <t>Passenger Vehicles (Weekend)</t>
  </si>
  <si>
    <t>Property Damage Only (PDO) Crashes</t>
  </si>
  <si>
    <t>Passenger Vehicles (All Travel)</t>
  </si>
  <si>
    <t>Recommended Montetized Value per vehicle ($2021)</t>
  </si>
  <si>
    <t>1) Weekday peak period values calculated for trips starting between 6:00 AM-8:59 AM and 4:00 PM-6:59 PM.</t>
  </si>
  <si>
    <t>Inflated to 2021 dollars using the GDP deflator.</t>
  </si>
  <si>
    <t xml:space="preserve">Table A-5: Vehicle Operating Costs (pg 39) </t>
  </si>
  <si>
    <t xml:space="preserve">Vehicle Type </t>
  </si>
  <si>
    <t>Recommended Value per Mile (2021 $)</t>
  </si>
  <si>
    <t>Light Duty Vehicles1</t>
  </si>
  <si>
    <t>Commercial Trucks2</t>
  </si>
  <si>
    <t>1) Based on an average light duty vehicle and includes operating costs such as gasoline, maintenance, tires, and depreciation (assuming an average of 15,000 miles driven per year). The value omits other ownership costs that are mostly fixed or transfers (insurance, license, registration, taxes, and financing charges).</t>
  </si>
  <si>
    <t>2) Value includes fuel costs, truck/trailer lease or purchase payments, repair and maintenance, truck insurance premiums, permits and licenses, and tires. The value omits tolls (which are transfers), and driver wages and benefits (which are already included in the value of travel time savings).</t>
  </si>
  <si>
    <t xml:space="preserve">Table A-13: External Highway Use Costs: Noise and Congestion Values (pg 47) </t>
  </si>
  <si>
    <t>Recommended Value of Cost per Vehicle Mile Traveled (2021 $)1</t>
  </si>
  <si>
    <t>Vehicle Type and Location</t>
  </si>
  <si>
    <t>Congestion</t>
  </si>
  <si>
    <t>Noise</t>
  </si>
  <si>
    <t>Light-Duty Vehicles - Urban</t>
  </si>
  <si>
    <t>Light-Duty Vehicles - Rural</t>
  </si>
  <si>
    <t>Light-Duty Vehicles – All Locations</t>
  </si>
  <si>
    <t>Buses and Trucks - Urban</t>
  </si>
  <si>
    <t>Buses and Trucks - Rural</t>
  </si>
  <si>
    <t>Buses and Trucks – All
Locations</t>
  </si>
  <si>
    <t>All Vehicles - Urban</t>
  </si>
  <si>
    <t>All Vehicles - Rural</t>
  </si>
  <si>
    <t>All Vehicles – All Locations</t>
  </si>
  <si>
    <t>1) Congestion costs updated from the 1997 Highway Cost Allocation Study to reflect increased traffic volumes, changes in vehicle occupancy, and increases in the value of time per person-hour since that time. Both congestion and noise costs are also adjusted from 1994 dollars to 2021 dollars using the GDP deflator.</t>
  </si>
  <si>
    <t>Increased container capacity, estimated at approximately 50,000 containers, provides for more direct delivery of international goods to local consumers reducing Vehicles Miles Traveled: 1) inland transportation costs, 2) fossil fuel burn, 3) pollution emissions, 4) interstate traffic congestion, 5) highway fatalities, 6) highway maintenance and repairs, 7) the need for added lane miles, and 8) cargo damage.</t>
  </si>
  <si>
    <t>Improved flow of containers directly to and from Publicker reduces the need for today’s natural occurring double handling of containers in the PAMT container yard.  This saves approximately 1 mile of in-terminal distance travelled and 6 minutes expended per impacted container.  The connector bridge added flow capacity and faster transit time reduce cargo handling equipment emissions, equipment purchases and maintenance and repairs, safety, cargo damages, and overall operating costs.</t>
  </si>
  <si>
    <t>Decreased ocean carrier, railroad and trucker turn-times and lower terminal operating costs ultimately make The Port more competitive and attractive to logistics customers and improves Pennsylvania consumers’ cost of living.  It is estimated that vessels stevedored at the north half of the PAMT will turn approximately 1.4 hours sooner than today with 38 less hours of equipment operating time and 315 miles less travelled inside the terminal per call.</t>
  </si>
  <si>
    <t>Job Impacts</t>
  </si>
  <si>
    <t>PAMT Connector Bridge Project – Project Budget by Project Component</t>
  </si>
  <si>
    <t>new PAMT jobs</t>
  </si>
  <si>
    <t>Project Component</t>
  </si>
  <si>
    <t>Estimate</t>
  </si>
  <si>
    <t>Sources</t>
  </si>
  <si>
    <t>Federal</t>
  </si>
  <si>
    <t>Non-Federal</t>
  </si>
  <si>
    <t>Demolition of Existing Trestle Bridge</t>
  </si>
  <si>
    <t>Construction of New Bridge (Substructure/Superstructure)</t>
  </si>
  <si>
    <t>Construction Management /Inspection</t>
  </si>
  <si>
    <t>Total Costs</t>
  </si>
  <si>
    <t>Percentage of Project Costs</t>
  </si>
  <si>
    <t>impact - DIRECT mulitplier (jobs per $M)</t>
  </si>
  <si>
    <t>impact - INDIRECT mulitplier (jobs per $M)</t>
  </si>
  <si>
    <t>Direct</t>
  </si>
  <si>
    <t>Updated Project Cost</t>
  </si>
  <si>
    <t>Construction</t>
  </si>
  <si>
    <t>Updated Project Cost ($2021)</t>
  </si>
  <si>
    <t>Bridge maintenance every 5 years</t>
  </si>
  <si>
    <t>deflator - 2022 to 2021</t>
  </si>
  <si>
    <t>Bridge maintenance every 5 years ($2021)</t>
  </si>
  <si>
    <t>Updated employment multipliers for the U.S. economy | Economic Policy Institute (epi.org)</t>
  </si>
  <si>
    <t>Year</t>
  </si>
  <si>
    <t>Construction Expenditure</t>
  </si>
  <si>
    <t>Discount</t>
  </si>
  <si>
    <t>Societal Costs - Used for Benefit Cost Analysis</t>
  </si>
  <si>
    <t>1. e.g., Leef, George C, Prevailing Wage Laws: Public Interest or Special Interest Legislation?, Cato Journal, Vol. 30, No.1 (Winter 2010), http://www.cato.org/pubs/journal/cj30n1/cj30n1-7.pdf</t>
  </si>
  <si>
    <t>Construction start</t>
  </si>
  <si>
    <t>Construction end</t>
  </si>
  <si>
    <t>O&amp;M annual assumption</t>
  </si>
  <si>
    <t>of total construction cost</t>
  </si>
  <si>
    <t>Crash Stats: Early Estimate of Motor Vehicle Traffic Fatalities for the First Half (January – June) of 2022 (dot.gov)</t>
  </si>
  <si>
    <t>2020 Data: Summary of Motor Vehicle Crashes (dot.gov)</t>
  </si>
  <si>
    <r>
      <rPr>
        <b/>
        <sz val="18"/>
        <color rgb="FF006FC0"/>
        <rFont val="Calibri"/>
        <family val="2"/>
      </rPr>
      <t>NATIONAL STATISTICS</t>
    </r>
  </si>
  <si>
    <t>National Statistics.pdf (nhtsa.gov)</t>
  </si>
  <si>
    <t>Fatality rate per 100 million VMt</t>
  </si>
  <si>
    <t>Injury rate per 100 million VMT</t>
  </si>
  <si>
    <r>
      <rPr>
        <b/>
        <sz val="12"/>
        <color rgb="FF006FC0"/>
        <rFont val="Calibri"/>
        <family val="2"/>
      </rPr>
      <t>POLICE-REPORTED MOTOR VEHICLE TRAFFIC CRASHES</t>
    </r>
  </si>
  <si>
    <t>Property damage only - reported</t>
  </si>
  <si>
    <t>VMT (Millions, annual)</t>
  </si>
  <si>
    <t>Property damage crashes per million VMT</t>
  </si>
  <si>
    <r>
      <rPr>
        <sz val="11"/>
        <rFont val="Calibri"/>
        <family val="2"/>
      </rPr>
      <t>Fatal</t>
    </r>
  </si>
  <si>
    <r>
      <rPr>
        <sz val="11"/>
        <rFont val="Calibri"/>
        <family val="2"/>
      </rPr>
      <t>Injury</t>
    </r>
  </si>
  <si>
    <r>
      <rPr>
        <sz val="11"/>
        <rFont val="Calibri"/>
        <family val="2"/>
      </rPr>
      <t>Property-Damage-Only</t>
    </r>
  </si>
  <si>
    <r>
      <rPr>
        <b/>
        <sz val="11"/>
        <rFont val="Calibri"/>
        <family val="2"/>
      </rPr>
      <t>Total</t>
    </r>
  </si>
  <si>
    <r>
      <rPr>
        <b/>
        <sz val="12"/>
        <color rgb="FF006FC0"/>
        <rFont val="Calibri"/>
        <family val="2"/>
      </rPr>
      <t>TRAFFIC CRASH VICTIMS: FATALITIES</t>
    </r>
  </si>
  <si>
    <r>
      <rPr>
        <b/>
        <sz val="11"/>
        <rFont val="Calibri"/>
        <family val="2"/>
      </rPr>
      <t>Occupants</t>
    </r>
  </si>
  <si>
    <r>
      <rPr>
        <sz val="11"/>
        <rFont val="Calibri"/>
        <family val="2"/>
      </rPr>
      <t>Drivers</t>
    </r>
  </si>
  <si>
    <r>
      <rPr>
        <sz val="11"/>
        <rFont val="Calibri"/>
        <family val="2"/>
      </rPr>
      <t>Passengers</t>
    </r>
  </si>
  <si>
    <r>
      <rPr>
        <sz val="11"/>
        <rFont val="Calibri"/>
        <family val="2"/>
      </rPr>
      <t>Unknown</t>
    </r>
  </si>
  <si>
    <r>
      <rPr>
        <b/>
        <sz val="11"/>
        <rFont val="Calibri"/>
        <family val="2"/>
      </rPr>
      <t>Motorcyclists</t>
    </r>
  </si>
  <si>
    <r>
      <rPr>
        <b/>
        <sz val="11"/>
        <rFont val="Calibri"/>
        <family val="2"/>
      </rPr>
      <t>Nonoccupants</t>
    </r>
  </si>
  <si>
    <r>
      <rPr>
        <sz val="11"/>
        <rFont val="Calibri"/>
        <family val="2"/>
      </rPr>
      <t>Pedestrians</t>
    </r>
  </si>
  <si>
    <t>2019-2016 average</t>
  </si>
  <si>
    <r>
      <rPr>
        <sz val="11"/>
        <rFont val="Calibri"/>
        <family val="2"/>
      </rPr>
      <t>Pedalcyclists</t>
    </r>
  </si>
  <si>
    <r>
      <rPr>
        <sz val="11"/>
        <rFont val="Calibri"/>
        <family val="2"/>
      </rPr>
      <t>Other/Unknown</t>
    </r>
  </si>
  <si>
    <r>
      <rPr>
        <b/>
        <sz val="12"/>
        <color rgb="FF006FC0"/>
        <rFont val="Calibri"/>
        <family val="2"/>
      </rPr>
      <t>TRAFFIC CRASH VICTIMS: INJURED</t>
    </r>
  </si>
  <si>
    <r>
      <rPr>
        <sz val="11"/>
        <rFont val="Calibri"/>
        <family val="2"/>
      </rPr>
      <t>*</t>
    </r>
  </si>
  <si>
    <r>
      <rPr>
        <b/>
        <sz val="12"/>
        <color rgb="FF006FC0"/>
        <rFont val="Calibri"/>
        <family val="2"/>
      </rPr>
      <t>OTHER NATIONAL STATISTICS</t>
    </r>
  </si>
  <si>
    <r>
      <rPr>
        <sz val="11"/>
        <rFont val="Calibri"/>
        <family val="2"/>
      </rPr>
      <t>Vehicle Miles Traveled (Millions)</t>
    </r>
  </si>
  <si>
    <r>
      <rPr>
        <sz val="11"/>
        <rFont val="Calibri"/>
        <family val="2"/>
      </rPr>
      <t>Resident Population</t>
    </r>
  </si>
  <si>
    <r>
      <rPr>
        <sz val="11"/>
        <rFont val="Calibri"/>
        <family val="2"/>
      </rPr>
      <t>Registered Vehicles</t>
    </r>
  </si>
  <si>
    <r>
      <rPr>
        <sz val="11"/>
        <rFont val="Calibri"/>
        <family val="2"/>
      </rPr>
      <t>Licensed Drivers</t>
    </r>
  </si>
  <si>
    <r>
      <rPr>
        <b/>
        <sz val="12"/>
        <color rgb="FF006FC0"/>
        <rFont val="Calibri"/>
        <family val="2"/>
      </rPr>
      <t>NATIONAL RATES: FATALITIES</t>
    </r>
  </si>
  <si>
    <r>
      <rPr>
        <sz val="11"/>
        <rFont val="Calibri"/>
        <family val="2"/>
      </rPr>
      <t>Fatalities per 100 Million Vehicle Miles Traveled</t>
    </r>
  </si>
  <si>
    <r>
      <rPr>
        <sz val="11"/>
        <rFont val="Calibri"/>
        <family val="2"/>
      </rPr>
      <t>Fatalities per 100,000 Population</t>
    </r>
  </si>
  <si>
    <r>
      <rPr>
        <sz val="11"/>
        <rFont val="Calibri"/>
        <family val="2"/>
      </rPr>
      <t>Fatalities per 100,000 Registered Vehicles</t>
    </r>
  </si>
  <si>
    <r>
      <rPr>
        <sz val="11"/>
        <rFont val="Calibri"/>
        <family val="2"/>
      </rPr>
      <t>Fatalities per 100,000 Licensed Drivers</t>
    </r>
  </si>
  <si>
    <r>
      <rPr>
        <b/>
        <sz val="12"/>
        <color rgb="FF006FC0"/>
        <rFont val="Calibri"/>
        <family val="2"/>
      </rPr>
      <t>NATIONAL RATES: INJURED PERSONS</t>
    </r>
  </si>
  <si>
    <r>
      <rPr>
        <sz val="11"/>
        <rFont val="Calibri"/>
        <family val="2"/>
      </rPr>
      <t>Injured Persons per 100 Million Vehicle Miles Traveled</t>
    </r>
  </si>
  <si>
    <r>
      <rPr>
        <sz val="11"/>
        <rFont val="Calibri"/>
        <family val="2"/>
      </rPr>
      <t>Injured Persons per 100,000 Population</t>
    </r>
  </si>
  <si>
    <r>
      <rPr>
        <sz val="11"/>
        <rFont val="Calibri"/>
        <family val="2"/>
      </rPr>
      <t>Injured Persons per 100,000 Registered Vehicles</t>
    </r>
  </si>
  <si>
    <r>
      <rPr>
        <sz val="11"/>
        <rFont val="Calibri"/>
        <family val="2"/>
      </rPr>
      <t>Injured Persons per 100,000 Licensed Drivers</t>
    </r>
  </si>
  <si>
    <r>
      <rPr>
        <sz val="11"/>
        <rFont val="Calibri"/>
        <family val="2"/>
      </rPr>
      <t>*Estimate less than 500.</t>
    </r>
  </si>
  <si>
    <r>
      <rPr>
        <sz val="11"/>
        <rFont val="Calibri"/>
        <family val="2"/>
      </rPr>
      <t>Sources: Crashes, Fatalities, Injured, and Costs - National Highway Traffic Safety Administration.</t>
    </r>
  </si>
  <si>
    <r>
      <rPr>
        <sz val="11"/>
        <rFont val="Calibri"/>
        <family val="2"/>
      </rPr>
      <t>Population – U.S. Bureau of the Census.</t>
    </r>
  </si>
  <si>
    <r>
      <rPr>
        <sz val="11"/>
        <rFont val="Calibri"/>
        <family val="2"/>
      </rPr>
      <t>Vehicle Miles Traveled and Licensed Drivers – Federal Highway Administration (FHWA).</t>
    </r>
  </si>
  <si>
    <r>
      <rPr>
        <sz val="11"/>
        <rFont val="Calibri"/>
        <family val="2"/>
      </rPr>
      <t>Registered Vehicles - FHWA and Polk data from R.L Polk &amp; Co., a foundation of IHS Markit automotive solutions.</t>
    </r>
  </si>
  <si>
    <r>
      <rPr>
        <i/>
        <sz val="9"/>
        <rFont val="Calibri"/>
        <family val="2"/>
      </rPr>
      <t>Traffic Safey Facts Annual Report, May 2021</t>
    </r>
  </si>
  <si>
    <t>Project Capacity (CUs)</t>
  </si>
  <si>
    <t>Philaport</t>
  </si>
  <si>
    <t>AVG VMTs</t>
  </si>
  <si>
    <t>[hinterlandanalysis_truckrates_VMT.xlsx]detail!P52</t>
  </si>
  <si>
    <t>AVG Savings CU</t>
  </si>
  <si>
    <t>[hinterlandanalysis_truckrates_VMT.xlsx]detail!T52</t>
  </si>
  <si>
    <t>Capture limit</t>
  </si>
  <si>
    <t>Hatch Processing</t>
  </si>
  <si>
    <t xml:space="preserve">YR </t>
  </si>
  <si>
    <t>Capture %</t>
  </si>
  <si>
    <t>Capture (CUs)</t>
  </si>
  <si>
    <t>Cumulative (CUs)</t>
  </si>
  <si>
    <t>Reduced VMTs/ year</t>
  </si>
  <si>
    <t>Savings yr.</t>
  </si>
  <si>
    <t>Reduced VMTs/ year growth rate YOY</t>
  </si>
  <si>
    <t>Adjuster</t>
  </si>
  <si>
    <t>Growth after year 5</t>
  </si>
  <si>
    <t>Avg VMT/CU----&gt;</t>
  </si>
  <si>
    <t>Equation 3.15 (pg. 58)</t>
  </si>
  <si>
    <t>Equation 3.16 (pg. 59)</t>
  </si>
  <si>
    <t>Equation 3.17 (pg. 59)</t>
  </si>
  <si>
    <t>Where</t>
  </si>
  <si>
    <r>
      <t>E</t>
    </r>
    <r>
      <rPr>
        <i/>
        <vertAlign val="subscript"/>
        <sz val="11"/>
        <color theme="1"/>
        <rFont val="Calibri"/>
        <family val="2"/>
        <scheme val="minor"/>
      </rPr>
      <t>p,i</t>
    </r>
    <r>
      <rPr>
        <i/>
        <sz val="11"/>
        <color theme="1"/>
        <rFont val="Calibri"/>
        <family val="2"/>
        <scheme val="minor"/>
      </rPr>
      <t xml:space="preserve"> / E</t>
    </r>
    <r>
      <rPr>
        <i/>
        <vertAlign val="subscript"/>
        <sz val="11"/>
        <color theme="1"/>
        <rFont val="Calibri"/>
        <family val="2"/>
        <scheme val="minor"/>
      </rPr>
      <t>a,</t>
    </r>
    <r>
      <rPr>
        <i/>
        <sz val="11"/>
        <color theme="1"/>
        <rFont val="Calibri"/>
        <family val="2"/>
        <scheme val="minor"/>
      </rPr>
      <t>i / E</t>
    </r>
    <r>
      <rPr>
        <i/>
        <vertAlign val="subscript"/>
        <sz val="11"/>
        <color theme="1"/>
        <rFont val="Calibri"/>
        <family val="2"/>
        <scheme val="minor"/>
      </rPr>
      <t>b,i</t>
    </r>
  </si>
  <si>
    <r>
      <t xml:space="preserve">propulsion engine, auxiliary engine, and boiler emissions for operating mode </t>
    </r>
    <r>
      <rPr>
        <i/>
        <sz val="11"/>
        <color theme="1"/>
        <rFont val="Calibri"/>
        <family val="2"/>
        <scheme val="minor"/>
      </rPr>
      <t>i</t>
    </r>
    <r>
      <rPr>
        <sz val="11"/>
        <color theme="1"/>
        <rFont val="Calibri"/>
        <family val="2"/>
        <scheme val="minor"/>
      </rPr>
      <t xml:space="preserve"> (g)</t>
    </r>
  </si>
  <si>
    <r>
      <t>P</t>
    </r>
    <r>
      <rPr>
        <i/>
        <vertAlign val="subscript"/>
        <sz val="11"/>
        <color theme="1"/>
        <rFont val="Calibri"/>
        <family val="2"/>
        <scheme val="minor"/>
      </rPr>
      <t xml:space="preserve">p,I </t>
    </r>
    <r>
      <rPr>
        <i/>
        <sz val="11"/>
        <color theme="1"/>
        <rFont val="Calibri"/>
        <family val="2"/>
        <scheme val="minor"/>
      </rPr>
      <t>/ P</t>
    </r>
    <r>
      <rPr>
        <i/>
        <vertAlign val="subscript"/>
        <sz val="11"/>
        <color theme="1"/>
        <rFont val="Calibri"/>
        <family val="2"/>
        <scheme val="minor"/>
      </rPr>
      <t>a,i</t>
    </r>
    <r>
      <rPr>
        <i/>
        <sz val="11"/>
        <color theme="1"/>
        <rFont val="Calibri"/>
        <family val="2"/>
        <scheme val="minor"/>
      </rPr>
      <t xml:space="preserve"> / P</t>
    </r>
    <r>
      <rPr>
        <i/>
        <vertAlign val="subscript"/>
        <sz val="11"/>
        <color theme="1"/>
        <rFont val="Calibri"/>
        <family val="2"/>
        <scheme val="minor"/>
      </rPr>
      <t>b,i</t>
    </r>
  </si>
  <si>
    <r>
      <t xml:space="preserve">engine operating power for operating mode </t>
    </r>
    <r>
      <rPr>
        <i/>
        <sz val="11"/>
        <color theme="1"/>
        <rFont val="Calibri"/>
        <family val="2"/>
        <scheme val="minor"/>
      </rPr>
      <t>i</t>
    </r>
    <r>
      <rPr>
        <sz val="11"/>
        <color theme="1"/>
        <rFont val="Calibri"/>
        <family val="2"/>
        <scheme val="minor"/>
      </rPr>
      <t xml:space="preserve"> (kW)</t>
    </r>
  </si>
  <si>
    <r>
      <t>A</t>
    </r>
    <r>
      <rPr>
        <i/>
        <vertAlign val="subscript"/>
        <sz val="11"/>
        <color theme="1"/>
        <rFont val="Calibri"/>
        <family val="2"/>
        <scheme val="minor"/>
      </rPr>
      <t>i</t>
    </r>
  </si>
  <si>
    <r>
      <t xml:space="preserve">time spent in operating mode </t>
    </r>
    <r>
      <rPr>
        <i/>
        <sz val="11"/>
        <color theme="1"/>
        <rFont val="Calibri"/>
        <family val="2"/>
        <scheme val="minor"/>
      </rPr>
      <t>i</t>
    </r>
    <r>
      <rPr>
        <sz val="11"/>
        <color theme="1"/>
        <rFont val="Calibri"/>
        <family val="2"/>
        <scheme val="minor"/>
      </rPr>
      <t xml:space="preserve"> (h)</t>
    </r>
  </si>
  <si>
    <t>EF</t>
  </si>
  <si>
    <t>emission factor (g/kWh)</t>
  </si>
  <si>
    <r>
      <t>LLAF</t>
    </r>
    <r>
      <rPr>
        <i/>
        <vertAlign val="subscript"/>
        <sz val="11"/>
        <color theme="1"/>
        <rFont val="Calibri"/>
        <family val="2"/>
        <scheme val="minor"/>
      </rPr>
      <t>i</t>
    </r>
  </si>
  <si>
    <r>
      <t xml:space="preserve">low load adjustment factor for operating mode </t>
    </r>
    <r>
      <rPr>
        <i/>
        <sz val="11"/>
        <color theme="1"/>
        <rFont val="Calibri"/>
        <family val="2"/>
        <scheme val="minor"/>
      </rPr>
      <t>i</t>
    </r>
    <r>
      <rPr>
        <sz val="11"/>
        <color theme="1"/>
        <rFont val="Calibri"/>
        <family val="2"/>
        <scheme val="minor"/>
      </rPr>
      <t>, a unitless factor that reflects increasing propulsion emissions during low load operations (always 1 for auxiliary engines and boilers)</t>
    </r>
  </si>
  <si>
    <t>Totals (metric ton/yr)</t>
  </si>
  <si>
    <t>Nitrogen Oxides</t>
  </si>
  <si>
    <t>Particulate Matter</t>
  </si>
  <si>
    <r>
      <t>PM</t>
    </r>
    <r>
      <rPr>
        <b/>
        <vertAlign val="subscript"/>
        <sz val="11"/>
        <color theme="1"/>
        <rFont val="Calibri"/>
        <family val="2"/>
        <scheme val="minor"/>
      </rPr>
      <t>10</t>
    </r>
  </si>
  <si>
    <t>Dark Particulate Matter</t>
  </si>
  <si>
    <r>
      <t>DPM</t>
    </r>
    <r>
      <rPr>
        <b/>
        <vertAlign val="subscript"/>
        <sz val="11"/>
        <color theme="1"/>
        <rFont val="Calibri"/>
        <family val="2"/>
        <scheme val="minor"/>
      </rPr>
      <t>10</t>
    </r>
  </si>
  <si>
    <r>
      <t>PM</t>
    </r>
    <r>
      <rPr>
        <b/>
        <vertAlign val="subscript"/>
        <sz val="11"/>
        <color theme="1"/>
        <rFont val="Calibri"/>
        <family val="2"/>
        <scheme val="minor"/>
      </rPr>
      <t>2.5</t>
    </r>
  </si>
  <si>
    <r>
      <t>DPM</t>
    </r>
    <r>
      <rPr>
        <b/>
        <vertAlign val="subscript"/>
        <sz val="11"/>
        <color theme="1"/>
        <rFont val="Calibri"/>
        <family val="2"/>
        <scheme val="minor"/>
      </rPr>
      <t>2.5</t>
    </r>
  </si>
  <si>
    <t>Black  Carbon</t>
  </si>
  <si>
    <t>BC</t>
  </si>
  <si>
    <t>Hydrocarbon</t>
  </si>
  <si>
    <t>HC</t>
  </si>
  <si>
    <t>Volatile Organic Compounds</t>
  </si>
  <si>
    <t>VOC</t>
  </si>
  <si>
    <t>Methane</t>
  </si>
  <si>
    <r>
      <t>CH</t>
    </r>
    <r>
      <rPr>
        <b/>
        <vertAlign val="subscript"/>
        <sz val="11"/>
        <color theme="1"/>
        <rFont val="Calibri"/>
        <family val="2"/>
        <scheme val="minor"/>
      </rPr>
      <t>4</t>
    </r>
  </si>
  <si>
    <t>Carbon Monoxide</t>
  </si>
  <si>
    <t>CO</t>
  </si>
  <si>
    <t>Nitrous Oxide</t>
  </si>
  <si>
    <r>
      <t>N</t>
    </r>
    <r>
      <rPr>
        <b/>
        <vertAlign val="subscript"/>
        <sz val="11"/>
        <color theme="1"/>
        <rFont val="Calibri"/>
        <family val="2"/>
        <scheme val="minor"/>
      </rPr>
      <t>2</t>
    </r>
    <r>
      <rPr>
        <b/>
        <sz val="11"/>
        <color theme="1"/>
        <rFont val="Calibri"/>
        <family val="2"/>
        <scheme val="minor"/>
      </rPr>
      <t>O</t>
    </r>
  </si>
  <si>
    <t>Carbon Dioxide</t>
  </si>
  <si>
    <r>
      <t>CO</t>
    </r>
    <r>
      <rPr>
        <b/>
        <vertAlign val="subscript"/>
        <sz val="11"/>
        <color theme="1"/>
        <rFont val="Calibri"/>
        <family val="2"/>
        <scheme val="minor"/>
      </rPr>
      <t>2</t>
    </r>
  </si>
  <si>
    <t>Sulfur Dioxide</t>
  </si>
  <si>
    <r>
      <t>SO</t>
    </r>
    <r>
      <rPr>
        <b/>
        <vertAlign val="subscript"/>
        <sz val="11"/>
        <color theme="1"/>
        <rFont val="Calibri"/>
        <family val="2"/>
        <scheme val="minor"/>
      </rPr>
      <t>2</t>
    </r>
  </si>
  <si>
    <t>Propulsion - Restricted Speed (g/yr)</t>
  </si>
  <si>
    <t>Propulsion - Maneuvering (g/yr)</t>
  </si>
  <si>
    <t>Auxiliary - Restricted Speed (g/yr)</t>
  </si>
  <si>
    <t>Auxiliary - Maneuvering (g/yr)</t>
  </si>
  <si>
    <t>Auxiliary - Hotelling (g/yr)</t>
  </si>
  <si>
    <t>Boiler - Maneuvering</t>
  </si>
  <si>
    <t>Boiler - Hoteling</t>
  </si>
  <si>
    <t>Shipping Cost Savings - reduced VMT highway</t>
  </si>
  <si>
    <t>Capacity</t>
  </si>
  <si>
    <t>TEUs</t>
  </si>
  <si>
    <t>&lt;--- could we reduce "functional" capacity to 850 or 800K TEUs</t>
  </si>
  <si>
    <t>Unjits (1.8)</t>
  </si>
  <si>
    <t>Grant period</t>
  </si>
  <si>
    <t>Actual/ Projected 2023</t>
  </si>
  <si>
    <t>CAGR</t>
  </si>
  <si>
    <t xml:space="preserve"> Capacity (Existing )</t>
  </si>
  <si>
    <t xml:space="preserve"> Capacity (available w/o pub 30K CU)</t>
  </si>
  <si>
    <t>Hinterland Capture %</t>
  </si>
  <si>
    <t>Hinterland Capture Units</t>
  </si>
  <si>
    <t>&lt;---3 ERTG funs increase capacity at PAMT 46K Cus</t>
  </si>
  <si>
    <t>&lt;--- increase in capacity realzied for PAMT-Publicker bridge 30K CU cap</t>
  </si>
  <si>
    <t>The budgetary cost for this two-lane bridge is $14.9M</t>
  </si>
  <si>
    <t xml:space="preserve">This cost does not include design, construction management or inspection. </t>
  </si>
  <si>
    <t>Project timeline (years)</t>
  </si>
  <si>
    <t>Estimated construction duration is 60 weeks.</t>
  </si>
  <si>
    <t>No.</t>
  </si>
  <si>
    <t>Item</t>
  </si>
  <si>
    <t>Cost Estimate</t>
  </si>
  <si>
    <t>Four Lane Option</t>
  </si>
  <si>
    <t>Mobilization/Demobilization</t>
  </si>
  <si>
    <t>Demolition</t>
  </si>
  <si>
    <t>Sub-Structure</t>
  </si>
  <si>
    <t>Super-Structure</t>
  </si>
  <si>
    <t>Electrical</t>
  </si>
  <si>
    <t>Permits</t>
  </si>
  <si>
    <t>Contingency</t>
  </si>
  <si>
    <t>Estimate does not include costs for Engineering, Construction Management or Inspection.</t>
  </si>
  <si>
    <t>Estimated construction duration 57-60 weeks.</t>
  </si>
  <si>
    <t>Soft Costs</t>
  </si>
  <si>
    <t>Assumption (% of hard costs)</t>
  </si>
  <si>
    <t>Total with Soft Costs</t>
  </si>
  <si>
    <t>Transportation and warehousing</t>
  </si>
  <si>
    <t>Indirect and induced jobs</t>
  </si>
  <si>
    <t>Employment impacts</t>
  </si>
  <si>
    <t>Construction Period</t>
  </si>
  <si>
    <t>Construction management and inspection</t>
  </si>
  <si>
    <t xml:space="preserve">Construction  </t>
  </si>
  <si>
    <t>Total spending</t>
  </si>
  <si>
    <t>Employment multupliers per $1 million in spending</t>
  </si>
  <si>
    <t>Direct jobs</t>
  </si>
  <si>
    <t>Indirect and Induced</t>
  </si>
  <si>
    <t>Annual operations</t>
  </si>
  <si>
    <t>Increased port operations</t>
  </si>
  <si>
    <t>Industry</t>
  </si>
  <si>
    <t>Professional services</t>
  </si>
  <si>
    <t>Transportation and Warehousing</t>
  </si>
  <si>
    <t>Jobs per 100 direct jobs</t>
  </si>
  <si>
    <t>Jobs per direct job</t>
  </si>
  <si>
    <t>Indirect</t>
  </si>
  <si>
    <t>Induced</t>
  </si>
  <si>
    <t>Indirect and jobs per direct job</t>
  </si>
  <si>
    <t>Total employment impacts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</si>
</sst>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6" formatCode="&quot;$&quot;#,##0_);[Red]\(&quot;$&quot;#,##0\)"/>
    <numFmt numFmtId="8" formatCode="&quot;$&quot;#,##0.00_);[Red]\(&quot;$&quot;#,##0.00\)"/>
    <numFmt numFmtId="44" formatCode="_(&quot;$&quot;* #,##0.00_);_(&quot;$&quot;* \(#,##0.00\);_(&quot;$&quot;* &quot;-&quot;??_);_(@_)"/>
    <numFmt numFmtId="43" formatCode="_(* #,##0.00_);_(* \(#,##0.00\);_(* &quot;-&quot;??_);_(@_)"/>
    <numFmt numFmtId="164" formatCode="_(* #,##0_);_(* \(#,##0\);_(* &quot;-&quot;??_);_(@_)"/>
    <numFmt numFmtId="165" formatCode="&quot;$&quot;#,##0"/>
    <numFmt numFmtId="166" formatCode="&quot;$&quot;#,##0.00"/>
    <numFmt numFmtId="167" formatCode="_(&quot;$&quot;* #,##0_);_(&quot;$&quot;* \(#,##0\);_(&quot;$&quot;* &quot;-&quot;??_);_(@_)"/>
    <numFmt numFmtId="168" formatCode="0.0000000000000"/>
    <numFmt numFmtId="169" formatCode="###0.00_)"/>
    <numFmt numFmtId="170" formatCode="0.0_W"/>
    <numFmt numFmtId="171" formatCode="0.000"/>
    <numFmt numFmtId="172" formatCode="0.0"/>
    <numFmt numFmtId="173" formatCode="&quot;$&quot;#,##0.0000_);[Red]\(&quot;$&quot;#,##0.0000\)"/>
    <numFmt numFmtId="174" formatCode="0.0%"/>
    <numFmt numFmtId="175" formatCode="_(* #,##0.0_);_(* \(#,##0.0\);_(* &quot;-&quot;??_);_(@_)"/>
    <numFmt numFmtId="176" formatCode="0.0000"/>
  </numFmts>
  <fonts count="49" x14ac:knownFonts="1">
    <font>
      <sz val="11"/>
      <color theme="1"/>
      <name val="Calibri"/>
      <family val="2"/>
      <scheme val="minor"/>
    </font>
    <font>
      <sz val="11"/>
      <color theme="1"/>
      <name val="Calibri"/>
      <family val="2"/>
      <scheme val="minor"/>
    </font>
    <font>
      <sz val="10"/>
      <name val="Arial"/>
      <family val="2"/>
    </font>
    <font>
      <b/>
      <sz val="11"/>
      <color theme="1"/>
      <name val="Calibri"/>
      <family val="2"/>
      <scheme val="minor"/>
    </font>
    <font>
      <u/>
      <sz val="11"/>
      <color theme="10"/>
      <name val="Calibri"/>
      <family val="2"/>
      <scheme val="minor"/>
    </font>
    <font>
      <sz val="11"/>
      <color rgb="FFFF0000"/>
      <name val="Calibri"/>
      <family val="2"/>
      <scheme val="minor"/>
    </font>
    <font>
      <sz val="11"/>
      <name val="Calibri"/>
      <family val="2"/>
      <scheme val="minor"/>
    </font>
    <font>
      <sz val="11"/>
      <color theme="0" tint="-0.499984740745262"/>
      <name val="Calibri"/>
      <family val="2"/>
      <scheme val="minor"/>
    </font>
    <font>
      <b/>
      <sz val="11"/>
      <color rgb="FFFF0000"/>
      <name val="Calibri"/>
      <family val="2"/>
      <scheme val="minor"/>
    </font>
    <font>
      <sz val="10"/>
      <name val="Arial"/>
      <family val="2"/>
    </font>
    <font>
      <sz val="9"/>
      <name val="Helv"/>
    </font>
    <font>
      <vertAlign val="superscript"/>
      <sz val="12"/>
      <name val="Helv"/>
    </font>
    <font>
      <sz val="10"/>
      <name val="Helv"/>
    </font>
    <font>
      <sz val="8"/>
      <name val="Helv"/>
    </font>
    <font>
      <b/>
      <sz val="9"/>
      <name val="Helv"/>
    </font>
    <font>
      <b/>
      <sz val="10"/>
      <name val="Helv"/>
    </font>
    <font>
      <sz val="12"/>
      <name val="Helv"/>
    </font>
    <font>
      <b/>
      <sz val="14"/>
      <name val="Helv"/>
    </font>
    <font>
      <b/>
      <sz val="12"/>
      <name val="Helv"/>
    </font>
    <font>
      <sz val="11"/>
      <name val="Arial Narrow"/>
      <family val="2"/>
    </font>
    <font>
      <b/>
      <sz val="18"/>
      <name val="Calibri"/>
      <family val="2"/>
    </font>
    <font>
      <b/>
      <sz val="18"/>
      <color rgb="FF006FC0"/>
      <name val="Calibri"/>
      <family val="2"/>
    </font>
    <font>
      <b/>
      <sz val="12"/>
      <color rgb="FF006FC0"/>
      <name val="Calibri"/>
      <family val="2"/>
    </font>
    <font>
      <b/>
      <sz val="12"/>
      <name val="Calibri"/>
      <family val="2"/>
    </font>
    <font>
      <sz val="11"/>
      <name val="Calibri"/>
      <family val="2"/>
    </font>
    <font>
      <sz val="11"/>
      <color rgb="FF000000"/>
      <name val="Calibri"/>
      <family val="2"/>
    </font>
    <font>
      <b/>
      <sz val="11"/>
      <name val="Calibri"/>
      <family val="2"/>
    </font>
    <font>
      <i/>
      <sz val="9"/>
      <name val="Calibri"/>
      <family val="2"/>
    </font>
    <font>
      <b/>
      <sz val="11"/>
      <name val="Calibri"/>
      <family val="2"/>
      <scheme val="minor"/>
    </font>
    <font>
      <b/>
      <sz val="10"/>
      <color rgb="FFFFFFFF"/>
      <name val="Calibri"/>
      <family val="2"/>
      <charset val="1"/>
    </font>
    <font>
      <sz val="10"/>
      <color rgb="FF000000"/>
      <name val="Calibri"/>
      <family val="2"/>
      <charset val="1"/>
    </font>
    <font>
      <b/>
      <sz val="10"/>
      <color rgb="FF000000"/>
      <name val="Calibri"/>
      <family val="2"/>
      <charset val="1"/>
    </font>
    <font>
      <b/>
      <sz val="11"/>
      <color theme="0" tint="-0.499984740745262"/>
      <name val="Calibri"/>
      <family val="2"/>
      <scheme val="minor"/>
    </font>
    <font>
      <sz val="11"/>
      <color theme="4"/>
      <name val="Calibri"/>
      <family val="2"/>
      <scheme val="minor"/>
    </font>
    <font>
      <vertAlign val="superscript"/>
      <sz val="11"/>
      <name val="Calibri"/>
      <family val="2"/>
      <scheme val="minor"/>
    </font>
    <font>
      <sz val="11"/>
      <color rgb="FF0070C0"/>
      <name val="Calibri"/>
      <family val="2"/>
      <scheme val="minor"/>
    </font>
    <font>
      <sz val="11"/>
      <color rgb="FF0070C0"/>
      <name val="Calibri"/>
      <family val="2"/>
    </font>
    <font>
      <b/>
      <sz val="11"/>
      <color rgb="FF0070C0"/>
      <name val="Calibri"/>
      <family val="2"/>
      <scheme val="minor"/>
    </font>
    <font>
      <b/>
      <sz val="10"/>
      <color theme="0" tint="-0.499984740745262"/>
      <name val="Calibri"/>
      <family val="2"/>
    </font>
    <font>
      <sz val="10"/>
      <color theme="0" tint="-0.499984740745262"/>
      <name val="Calibri"/>
      <family val="2"/>
    </font>
    <font>
      <sz val="11"/>
      <color theme="0" tint="-0.499984740745262"/>
      <name val="Arial"/>
      <family val="2"/>
    </font>
    <font>
      <sz val="14"/>
      <color theme="1"/>
      <name val="Calibri"/>
      <family val="2"/>
      <scheme val="minor"/>
    </font>
    <font>
      <u/>
      <sz val="11"/>
      <color theme="0" tint="-0.499984740745262"/>
      <name val="Calibri"/>
      <family val="2"/>
      <scheme val="minor"/>
    </font>
    <font>
      <u/>
      <sz val="11"/>
      <color theme="1"/>
      <name val="Calibri"/>
      <family val="2"/>
      <scheme val="minor"/>
    </font>
    <font>
      <i/>
      <sz val="11"/>
      <color theme="1"/>
      <name val="Calibri"/>
      <family val="2"/>
      <scheme val="minor"/>
    </font>
    <font>
      <i/>
      <vertAlign val="subscript"/>
      <sz val="11"/>
      <color theme="1"/>
      <name val="Calibri"/>
      <family val="2"/>
      <scheme val="minor"/>
    </font>
    <font>
      <b/>
      <vertAlign val="subscript"/>
      <sz val="11"/>
      <color theme="1"/>
      <name val="Calibri"/>
      <family val="2"/>
      <scheme val="minor"/>
    </font>
    <font>
      <b/>
      <sz val="12"/>
      <color theme="1"/>
      <name val="Calibri"/>
      <family val="2"/>
      <scheme val="minor"/>
    </font>
    <font>
      <sz val="8"/>
      <color rgb="FF330000"/>
      <name val="Arial"/>
      <family val="2"/>
    </font>
  </fonts>
  <fills count="19">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theme="6"/>
        <bgColor indexed="64"/>
      </patternFill>
    </fill>
    <fill>
      <patternFill patternType="solid">
        <fgColor indexed="22"/>
        <bgColor indexed="9"/>
      </patternFill>
    </fill>
    <fill>
      <patternFill patternType="solid">
        <fgColor indexed="22"/>
        <bgColor indexed="55"/>
      </patternFill>
    </fill>
    <fill>
      <patternFill patternType="solid">
        <fgColor theme="2"/>
        <bgColor indexed="64"/>
      </patternFill>
    </fill>
    <fill>
      <patternFill patternType="solid">
        <fgColor theme="8"/>
        <bgColor indexed="64"/>
      </patternFill>
    </fill>
    <fill>
      <patternFill patternType="solid">
        <fgColor rgb="FF4472C4"/>
        <bgColor indexed="64"/>
      </patternFill>
    </fill>
    <fill>
      <patternFill patternType="solid">
        <fgColor rgb="FFB4C6E7"/>
        <bgColor indexed="64"/>
      </patternFill>
    </fill>
    <fill>
      <patternFill patternType="solid">
        <fgColor rgb="FFD9E2F3"/>
        <bgColor indexed="64"/>
      </patternFill>
    </fill>
    <fill>
      <patternFill patternType="solid">
        <fgColor theme="5"/>
        <bgColor indexed="64"/>
      </patternFill>
    </fill>
    <fill>
      <patternFill patternType="solid">
        <fgColor theme="0" tint="-4.9989318521683403E-2"/>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bgColor indexed="64"/>
      </patternFill>
    </fill>
  </fills>
  <borders count="28">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22"/>
      </bottom>
      <diagonal/>
    </border>
    <border>
      <left/>
      <right/>
      <top/>
      <bottom style="hair">
        <color indexed="8"/>
      </bottom>
      <diagonal/>
    </border>
    <border>
      <left/>
      <right/>
      <top/>
      <bottom style="hair">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top style="thin">
        <color indexed="64"/>
      </top>
      <bottom style="double">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FFFFFF"/>
      </left>
      <right/>
      <top style="thin">
        <color rgb="FFFFFFFF"/>
      </top>
      <bottom style="thin">
        <color rgb="FFFFFFFF"/>
      </bottom>
      <diagonal/>
    </border>
    <border>
      <left/>
      <right/>
      <top style="thin">
        <color rgb="FFFFFFFF"/>
      </top>
      <bottom style="thin">
        <color rgb="FFFFFFFF"/>
      </bottom>
      <diagonal/>
    </border>
    <border>
      <left/>
      <right style="thin">
        <color rgb="FFFFFFFF"/>
      </right>
      <top style="thin">
        <color rgb="FFFFFFFF"/>
      </top>
      <bottom style="thin">
        <color rgb="FFFFFFFF"/>
      </bottom>
      <diagonal/>
    </border>
    <border>
      <left style="thin">
        <color rgb="FFFFFFFF"/>
      </left>
      <right style="thin">
        <color rgb="FFFFFFFF"/>
      </right>
      <top style="thin">
        <color rgb="FFFFFFFF"/>
      </top>
      <bottom style="thin">
        <color rgb="FFFFFFFF"/>
      </bottom>
      <diagonal/>
    </border>
    <border>
      <left style="thin">
        <color rgb="FF000000"/>
      </left>
      <right style="thin">
        <color rgb="FF000000"/>
      </right>
      <top/>
      <bottom style="thin">
        <color rgb="FF000000"/>
      </bottom>
      <diagonal/>
    </border>
  </borders>
  <cellStyleXfs count="35">
    <xf numFmtId="0" fontId="0" fillId="0" borderId="0"/>
    <xf numFmtId="43" fontId="1" fillId="0" borderId="0" applyFont="0" applyFill="0" applyBorder="0" applyAlignment="0" applyProtection="0"/>
    <xf numFmtId="44" fontId="1" fillId="0" borderId="0" applyFont="0" applyFill="0" applyBorder="0" applyAlignment="0" applyProtection="0"/>
    <xf numFmtId="0" fontId="4" fillId="0" borderId="0" applyNumberFormat="0" applyFill="0" applyBorder="0" applyAlignment="0" applyProtection="0"/>
    <xf numFmtId="9" fontId="1" fillId="0" borderId="0" applyFont="0" applyFill="0" applyBorder="0" applyAlignment="0" applyProtection="0"/>
    <xf numFmtId="0" fontId="9" fillId="0" borderId="0"/>
    <xf numFmtId="3" fontId="10" fillId="0" borderId="12" applyAlignment="0">
      <alignment horizontal="right" vertical="center"/>
    </xf>
    <xf numFmtId="49" fontId="11" fillId="0" borderId="12">
      <alignment horizontal="left" vertical="center"/>
    </xf>
    <xf numFmtId="169" fontId="12" fillId="0" borderId="13" applyNumberFormat="0">
      <alignment horizontal="right" vertical="center"/>
    </xf>
    <xf numFmtId="170" fontId="12" fillId="0" borderId="12">
      <alignment horizontal="right"/>
    </xf>
    <xf numFmtId="0" fontId="14" fillId="0" borderId="12">
      <alignment horizontal="left"/>
    </xf>
    <xf numFmtId="0" fontId="14" fillId="0" borderId="14">
      <alignment horizontal="right" vertical="center"/>
    </xf>
    <xf numFmtId="0" fontId="12" fillId="0" borderId="12">
      <alignment horizontal="left" vertical="center"/>
    </xf>
    <xf numFmtId="0" fontId="15" fillId="0" borderId="14">
      <alignment horizontal="left" vertical="center"/>
    </xf>
    <xf numFmtId="0" fontId="15" fillId="5" borderId="0">
      <alignment horizontal="centerContinuous" wrapText="1"/>
    </xf>
    <xf numFmtId="0" fontId="2" fillId="0" borderId="0"/>
    <xf numFmtId="0" fontId="13" fillId="0" borderId="0">
      <alignment horizontal="right"/>
    </xf>
    <xf numFmtId="0" fontId="11" fillId="0" borderId="0">
      <alignment horizontal="right"/>
    </xf>
    <xf numFmtId="0" fontId="13" fillId="0" borderId="0">
      <alignment horizontal="left"/>
    </xf>
    <xf numFmtId="49" fontId="11" fillId="0" borderId="12">
      <alignment horizontal="left" vertical="center"/>
    </xf>
    <xf numFmtId="49" fontId="16" fillId="0" borderId="12" applyFill="0">
      <alignment horizontal="left" vertical="center"/>
    </xf>
    <xf numFmtId="49" fontId="11" fillId="0" borderId="14">
      <alignment horizontal="left" vertical="center"/>
    </xf>
    <xf numFmtId="169" fontId="10" fillId="0" borderId="0" applyNumberFormat="0">
      <alignment horizontal="right"/>
    </xf>
    <xf numFmtId="0" fontId="14" fillId="6" borderId="0">
      <alignment horizontal="centerContinuous" vertical="center" wrapText="1"/>
    </xf>
    <xf numFmtId="0" fontId="14" fillId="0" borderId="13">
      <alignment horizontal="left" vertical="center"/>
    </xf>
    <xf numFmtId="0" fontId="17" fillId="0" borderId="0">
      <alignment horizontal="left" vertical="top"/>
    </xf>
    <xf numFmtId="0" fontId="15" fillId="0" borderId="0">
      <alignment horizontal="left"/>
    </xf>
    <xf numFmtId="0" fontId="18" fillId="0" borderId="0">
      <alignment horizontal="left"/>
    </xf>
    <xf numFmtId="0" fontId="12" fillId="0" borderId="0">
      <alignment horizontal="left"/>
    </xf>
    <xf numFmtId="0" fontId="17" fillId="0" borderId="0">
      <alignment horizontal="left" vertical="top"/>
    </xf>
    <xf numFmtId="0" fontId="18" fillId="0" borderId="0">
      <alignment horizontal="left"/>
    </xf>
    <xf numFmtId="0" fontId="12" fillId="0" borderId="0">
      <alignment horizontal="left"/>
    </xf>
    <xf numFmtId="49" fontId="10" fillId="0" borderId="12">
      <alignment horizontal="left"/>
    </xf>
    <xf numFmtId="0" fontId="14" fillId="0" borderId="14">
      <alignment horizontal="left"/>
    </xf>
    <xf numFmtId="0" fontId="15" fillId="0" borderId="0">
      <alignment horizontal="left" vertical="center"/>
    </xf>
  </cellStyleXfs>
  <cellXfs count="213">
    <xf numFmtId="0" fontId="0" fillId="0" borderId="0" xfId="0"/>
    <xf numFmtId="0" fontId="0" fillId="0" borderId="1" xfId="0" applyBorder="1"/>
    <xf numFmtId="44" fontId="0" fillId="0" borderId="0" xfId="0" applyNumberFormat="1"/>
    <xf numFmtId="0" fontId="0" fillId="0" borderId="0" xfId="0" applyAlignment="1">
      <alignment horizontal="center"/>
    </xf>
    <xf numFmtId="0" fontId="0" fillId="0" borderId="0" xfId="0" applyAlignment="1">
      <alignment horizontal="left" vertical="center" wrapText="1"/>
    </xf>
    <xf numFmtId="0" fontId="0" fillId="0" borderId="0" xfId="0" applyAlignment="1">
      <alignment horizontal="justify" vertical="center" wrapText="1"/>
    </xf>
    <xf numFmtId="0" fontId="0" fillId="0" borderId="0" xfId="0" applyAlignment="1">
      <alignment wrapText="1"/>
    </xf>
    <xf numFmtId="3" fontId="0" fillId="0" borderId="0" xfId="0" applyNumberFormat="1"/>
    <xf numFmtId="0" fontId="3" fillId="0" borderId="2" xfId="0" applyFont="1" applyBorder="1"/>
    <xf numFmtId="165" fontId="0" fillId="0" borderId="0" xfId="0" applyNumberFormat="1"/>
    <xf numFmtId="0" fontId="3" fillId="0" borderId="1" xfId="0" applyFont="1" applyBorder="1"/>
    <xf numFmtId="164" fontId="0" fillId="0" borderId="0" xfId="1" applyNumberFormat="1" applyFont="1"/>
    <xf numFmtId="0" fontId="3" fillId="0" borderId="0" xfId="0" applyFont="1"/>
    <xf numFmtId="8" fontId="0" fillId="0" borderId="0" xfId="0" applyNumberFormat="1"/>
    <xf numFmtId="6" fontId="0" fillId="0" borderId="1" xfId="0" applyNumberFormat="1" applyBorder="1"/>
    <xf numFmtId="0" fontId="4" fillId="0" borderId="0" xfId="3"/>
    <xf numFmtId="6" fontId="0" fillId="0" borderId="0" xfId="0" applyNumberFormat="1"/>
    <xf numFmtId="44" fontId="0" fillId="0" borderId="0" xfId="2" applyFont="1"/>
    <xf numFmtId="2" fontId="0" fillId="0" borderId="0" xfId="0" applyNumberFormat="1"/>
    <xf numFmtId="1" fontId="0" fillId="0" borderId="0" xfId="0" applyNumberFormat="1"/>
    <xf numFmtId="166" fontId="0" fillId="0" borderId="0" xfId="0" applyNumberFormat="1"/>
    <xf numFmtId="44" fontId="3" fillId="0" borderId="0" xfId="0" applyNumberFormat="1" applyFont="1"/>
    <xf numFmtId="9" fontId="0" fillId="0" borderId="0" xfId="0" applyNumberFormat="1"/>
    <xf numFmtId="9" fontId="0" fillId="0" borderId="0" xfId="4" applyFont="1"/>
    <xf numFmtId="0" fontId="7" fillId="0" borderId="3" xfId="0" applyFont="1" applyBorder="1"/>
    <xf numFmtId="0" fontId="7" fillId="0" borderId="0" xfId="0" applyFont="1"/>
    <xf numFmtId="6" fontId="7" fillId="0" borderId="0" xfId="0" applyNumberFormat="1" applyFont="1"/>
    <xf numFmtId="9" fontId="7" fillId="0" borderId="0" xfId="4" applyFont="1" applyFill="1"/>
    <xf numFmtId="0" fontId="3" fillId="0" borderId="0" xfId="0" applyFont="1" applyAlignment="1">
      <alignment horizontal="right"/>
    </xf>
    <xf numFmtId="164" fontId="3" fillId="3" borderId="0" xfId="1" applyNumberFormat="1" applyFont="1" applyFill="1"/>
    <xf numFmtId="43" fontId="3" fillId="3" borderId="0" xfId="0" applyNumberFormat="1" applyFont="1" applyFill="1"/>
    <xf numFmtId="0" fontId="3" fillId="0" borderId="0" xfId="0" applyFont="1" applyAlignment="1">
      <alignment horizontal="center" vertical="center" wrapText="1"/>
    </xf>
    <xf numFmtId="164" fontId="0" fillId="0" borderId="0" xfId="0" applyNumberFormat="1"/>
    <xf numFmtId="167" fontId="0" fillId="0" borderId="0" xfId="0" applyNumberFormat="1"/>
    <xf numFmtId="6" fontId="3" fillId="0" borderId="1" xfId="0" applyNumberFormat="1" applyFont="1" applyBorder="1"/>
    <xf numFmtId="0" fontId="3" fillId="0" borderId="4" xfId="0" applyFont="1" applyBorder="1" applyAlignment="1">
      <alignment horizontal="center" vertical="center" wrapText="1"/>
    </xf>
    <xf numFmtId="43" fontId="0" fillId="0" borderId="5" xfId="1" applyFont="1" applyBorder="1" applyAlignment="1">
      <alignment wrapText="1"/>
    </xf>
    <xf numFmtId="0" fontId="0" fillId="0" borderId="5" xfId="0" applyBorder="1" applyAlignment="1">
      <alignment wrapText="1"/>
    </xf>
    <xf numFmtId="0" fontId="0" fillId="0" borderId="6" xfId="0" applyBorder="1" applyAlignment="1">
      <alignment wrapText="1"/>
    </xf>
    <xf numFmtId="9" fontId="0" fillId="0" borderId="7" xfId="4" applyFont="1" applyBorder="1"/>
    <xf numFmtId="43" fontId="0" fillId="0" borderId="0" xfId="1" applyFont="1" applyBorder="1"/>
    <xf numFmtId="0" fontId="0" fillId="0" borderId="8" xfId="0" applyBorder="1"/>
    <xf numFmtId="0" fontId="0" fillId="0" borderId="9" xfId="0" applyBorder="1"/>
    <xf numFmtId="43" fontId="0" fillId="0" borderId="10" xfId="1" applyFont="1" applyBorder="1"/>
    <xf numFmtId="0" fontId="0" fillId="0" borderId="10" xfId="0" applyBorder="1"/>
    <xf numFmtId="0" fontId="0" fillId="0" borderId="11" xfId="0" applyBorder="1"/>
    <xf numFmtId="43" fontId="0" fillId="0" borderId="0" xfId="0" applyNumberFormat="1"/>
    <xf numFmtId="0" fontId="0" fillId="4" borderId="0" xfId="0" applyFill="1"/>
    <xf numFmtId="0" fontId="5" fillId="0" borderId="0" xfId="0" applyFont="1"/>
    <xf numFmtId="0" fontId="8" fillId="0" borderId="0" xfId="0" applyFont="1"/>
    <xf numFmtId="6" fontId="6" fillId="0" borderId="0" xfId="0" applyNumberFormat="1" applyFont="1"/>
    <xf numFmtId="168" fontId="0" fillId="0" borderId="0" xfId="0" applyNumberFormat="1"/>
    <xf numFmtId="171" fontId="19" fillId="0" borderId="0" xfId="5" applyNumberFormat="1" applyFont="1"/>
    <xf numFmtId="167" fontId="0" fillId="0" borderId="0" xfId="2" applyNumberFormat="1" applyFont="1"/>
    <xf numFmtId="0" fontId="3" fillId="0" borderId="18" xfId="0" applyFont="1" applyBorder="1"/>
    <xf numFmtId="9" fontId="6" fillId="2" borderId="0" xfId="0" applyNumberFormat="1" applyFont="1" applyFill="1"/>
    <xf numFmtId="6" fontId="3" fillId="0" borderId="0" xfId="0" applyNumberFormat="1" applyFont="1"/>
    <xf numFmtId="8" fontId="3" fillId="0" borderId="0" xfId="0" applyNumberFormat="1" applyFont="1"/>
    <xf numFmtId="0" fontId="0" fillId="7" borderId="0" xfId="0" applyFill="1"/>
    <xf numFmtId="166" fontId="3" fillId="0" borderId="0" xfId="0" applyNumberFormat="1" applyFont="1"/>
    <xf numFmtId="0" fontId="0" fillId="2" borderId="0" xfId="0" applyFill="1"/>
    <xf numFmtId="0" fontId="3" fillId="2" borderId="0" xfId="0" applyFont="1" applyFill="1" applyAlignment="1">
      <alignment horizontal="right"/>
    </xf>
    <xf numFmtId="44" fontId="3" fillId="2" borderId="0" xfId="2" applyFont="1" applyFill="1"/>
    <xf numFmtId="8" fontId="5" fillId="0" borderId="0" xfId="0" applyNumberFormat="1" applyFont="1"/>
    <xf numFmtId="166" fontId="5" fillId="0" borderId="0" xfId="0" applyNumberFormat="1" applyFont="1"/>
    <xf numFmtId="0" fontId="6" fillId="0" borderId="0" xfId="0" applyFont="1"/>
    <xf numFmtId="44" fontId="6" fillId="0" borderId="0" xfId="0" applyNumberFormat="1" applyFont="1"/>
    <xf numFmtId="166" fontId="0" fillId="4" borderId="0" xfId="0" applyNumberFormat="1" applyFill="1"/>
    <xf numFmtId="0" fontId="0" fillId="0" borderId="19" xfId="0" applyBorder="1" applyAlignment="1">
      <alignment horizontal="left" vertical="center" wrapText="1"/>
    </xf>
    <xf numFmtId="0" fontId="0" fillId="0" borderId="19" xfId="0" applyBorder="1" applyAlignment="1">
      <alignment horizontal="left" wrapText="1"/>
    </xf>
    <xf numFmtId="1" fontId="22" fillId="0" borderId="19" xfId="0" applyNumberFormat="1" applyFont="1" applyBorder="1" applyAlignment="1">
      <alignment horizontal="right" vertical="top" shrinkToFit="1"/>
    </xf>
    <xf numFmtId="3" fontId="25" fillId="0" borderId="19" xfId="0" applyNumberFormat="1" applyFont="1" applyBorder="1" applyAlignment="1">
      <alignment horizontal="right" vertical="top" shrinkToFit="1"/>
    </xf>
    <xf numFmtId="1" fontId="25" fillId="0" borderId="19" xfId="0" applyNumberFormat="1" applyFont="1" applyBorder="1" applyAlignment="1">
      <alignment horizontal="right" vertical="top" shrinkToFit="1"/>
    </xf>
    <xf numFmtId="0" fontId="24" fillId="0" borderId="19" xfId="0" applyFont="1" applyBorder="1" applyAlignment="1">
      <alignment horizontal="right" vertical="top" wrapText="1"/>
    </xf>
    <xf numFmtId="2" fontId="25" fillId="0" borderId="19" xfId="0" applyNumberFormat="1" applyFont="1" applyBorder="1" applyAlignment="1">
      <alignment horizontal="right" vertical="top" shrinkToFit="1"/>
    </xf>
    <xf numFmtId="0" fontId="20" fillId="0" borderId="19" xfId="0" applyFont="1" applyBorder="1" applyAlignment="1">
      <alignment horizontal="left" vertical="top"/>
    </xf>
    <xf numFmtId="0" fontId="0" fillId="0" borderId="19" xfId="0" applyBorder="1" applyAlignment="1">
      <alignment horizontal="left"/>
    </xf>
    <xf numFmtId="0" fontId="23" fillId="0" borderId="19" xfId="0" applyFont="1" applyBorder="1" applyAlignment="1">
      <alignment horizontal="left" vertical="top"/>
    </xf>
    <xf numFmtId="0" fontId="24" fillId="0" borderId="19" xfId="0" applyFont="1" applyBorder="1" applyAlignment="1">
      <alignment horizontal="left" vertical="top"/>
    </xf>
    <xf numFmtId="0" fontId="26" fillId="0" borderId="19" xfId="0" applyFont="1" applyBorder="1" applyAlignment="1">
      <alignment horizontal="left" vertical="top"/>
    </xf>
    <xf numFmtId="43" fontId="0" fillId="0" borderId="0" xfId="1" applyFont="1"/>
    <xf numFmtId="14" fontId="0" fillId="0" borderId="0" xfId="0" applyNumberFormat="1"/>
    <xf numFmtId="10" fontId="0" fillId="0" borderId="0" xfId="0" applyNumberFormat="1"/>
    <xf numFmtId="17" fontId="0" fillId="0" borderId="0" xfId="0" applyNumberFormat="1"/>
    <xf numFmtId="0" fontId="0" fillId="0" borderId="2" xfId="0" applyBorder="1"/>
    <xf numFmtId="6" fontId="3" fillId="0" borderId="18" xfId="0" applyNumberFormat="1" applyFont="1" applyBorder="1"/>
    <xf numFmtId="0" fontId="28" fillId="8" borderId="15" xfId="0" applyFont="1" applyFill="1" applyBorder="1" applyAlignment="1">
      <alignment vertical="center"/>
    </xf>
    <xf numFmtId="0" fontId="28" fillId="8" borderId="16" xfId="0" applyFont="1" applyFill="1" applyBorder="1" applyAlignment="1">
      <alignment horizontal="right" vertical="center"/>
    </xf>
    <xf numFmtId="0" fontId="28" fillId="8" borderId="16" xfId="0" applyFont="1" applyFill="1" applyBorder="1" applyAlignment="1">
      <alignment horizontal="center" vertical="center"/>
    </xf>
    <xf numFmtId="0" fontId="6" fillId="0" borderId="17" xfId="0" applyFont="1" applyBorder="1" applyAlignment="1">
      <alignment vertical="center"/>
    </xf>
    <xf numFmtId="6" fontId="6" fillId="0" borderId="11" xfId="0" applyNumberFormat="1" applyFont="1" applyBorder="1" applyAlignment="1">
      <alignment horizontal="right" vertical="center"/>
    </xf>
    <xf numFmtId="172" fontId="6" fillId="0" borderId="11" xfId="0" applyNumberFormat="1" applyFont="1" applyBorder="1" applyAlignment="1">
      <alignment horizontal="right" vertical="center"/>
    </xf>
    <xf numFmtId="0" fontId="29" fillId="9" borderId="23" xfId="0" applyFont="1" applyFill="1" applyBorder="1"/>
    <xf numFmtId="0" fontId="29" fillId="9" borderId="24" xfId="0" applyFont="1" applyFill="1" applyBorder="1"/>
    <xf numFmtId="0" fontId="29" fillId="9" borderId="25" xfId="0" applyFont="1" applyFill="1" applyBorder="1"/>
    <xf numFmtId="0" fontId="29" fillId="9" borderId="26" xfId="0" applyFont="1" applyFill="1" applyBorder="1"/>
    <xf numFmtId="6" fontId="30" fillId="10" borderId="26" xfId="0" applyNumberFormat="1" applyFont="1" applyFill="1" applyBorder="1"/>
    <xf numFmtId="6" fontId="30" fillId="11" borderId="26" xfId="0" applyNumberFormat="1" applyFont="1" applyFill="1" applyBorder="1"/>
    <xf numFmtId="6" fontId="31" fillId="11" borderId="26" xfId="0" applyNumberFormat="1" applyFont="1" applyFill="1" applyBorder="1"/>
    <xf numFmtId="43" fontId="3" fillId="0" borderId="0" xfId="0" applyNumberFormat="1" applyFont="1"/>
    <xf numFmtId="0" fontId="7" fillId="0" borderId="0" xfId="0" applyFont="1" applyAlignment="1">
      <alignment wrapText="1"/>
    </xf>
    <xf numFmtId="0" fontId="32" fillId="0" borderId="0" xfId="0" applyFont="1" applyAlignment="1">
      <alignment wrapText="1"/>
    </xf>
    <xf numFmtId="43" fontId="7" fillId="0" borderId="0" xfId="1" applyFont="1"/>
    <xf numFmtId="9" fontId="7" fillId="0" borderId="0" xfId="4" applyFont="1"/>
    <xf numFmtId="44" fontId="3" fillId="2" borderId="0" xfId="0" applyNumberFormat="1" applyFont="1" applyFill="1"/>
    <xf numFmtId="0" fontId="33" fillId="0" borderId="0" xfId="0" applyFont="1"/>
    <xf numFmtId="0" fontId="33" fillId="0" borderId="0" xfId="0" applyFont="1" applyAlignment="1">
      <alignment horizontal="center"/>
    </xf>
    <xf numFmtId="44" fontId="33" fillId="0" borderId="0" xfId="2" applyFont="1" applyBorder="1"/>
    <xf numFmtId="8" fontId="33" fillId="0" borderId="0" xfId="0" applyNumberFormat="1" applyFont="1"/>
    <xf numFmtId="0" fontId="6" fillId="0" borderId="1" xfId="0" applyFont="1" applyBorder="1"/>
    <xf numFmtId="6" fontId="6" fillId="0" borderId="1" xfId="0" applyNumberFormat="1" applyFont="1" applyBorder="1"/>
    <xf numFmtId="44" fontId="6" fillId="0" borderId="1" xfId="2" applyFont="1" applyBorder="1"/>
    <xf numFmtId="8" fontId="6" fillId="0" borderId="1" xfId="0" applyNumberFormat="1" applyFont="1" applyBorder="1"/>
    <xf numFmtId="173" fontId="0" fillId="0" borderId="0" xfId="0" applyNumberFormat="1"/>
    <xf numFmtId="173" fontId="6" fillId="0" borderId="1" xfId="0" applyNumberFormat="1" applyFont="1" applyBorder="1"/>
    <xf numFmtId="0" fontId="35" fillId="0" borderId="0" xfId="0" applyFont="1"/>
    <xf numFmtId="0" fontId="5" fillId="12" borderId="0" xfId="0" applyFont="1" applyFill="1"/>
    <xf numFmtId="166" fontId="5" fillId="12" borderId="0" xfId="0" applyNumberFormat="1" applyFont="1" applyFill="1"/>
    <xf numFmtId="8" fontId="5" fillId="12" borderId="0" xfId="0" applyNumberFormat="1" applyFont="1" applyFill="1"/>
    <xf numFmtId="44" fontId="5" fillId="12" borderId="0" xfId="0" applyNumberFormat="1" applyFont="1" applyFill="1"/>
    <xf numFmtId="8" fontId="7" fillId="0" borderId="0" xfId="0" applyNumberFormat="1" applyFont="1"/>
    <xf numFmtId="44" fontId="7" fillId="0" borderId="0" xfId="0" applyNumberFormat="1" applyFont="1"/>
    <xf numFmtId="0" fontId="32" fillId="13" borderId="0" xfId="0" applyFont="1" applyFill="1"/>
    <xf numFmtId="0" fontId="7" fillId="13" borderId="0" xfId="0" applyFont="1" applyFill="1"/>
    <xf numFmtId="0" fontId="38" fillId="13" borderId="23" xfId="0" applyFont="1" applyFill="1" applyBorder="1"/>
    <xf numFmtId="0" fontId="38" fillId="13" borderId="24" xfId="0" applyFont="1" applyFill="1" applyBorder="1"/>
    <xf numFmtId="0" fontId="38" fillId="13" borderId="25" xfId="0" applyFont="1" applyFill="1" applyBorder="1"/>
    <xf numFmtId="0" fontId="38" fillId="13" borderId="26" xfId="0" applyFont="1" applyFill="1" applyBorder="1"/>
    <xf numFmtId="6" fontId="39" fillId="13" borderId="26" xfId="0" applyNumberFormat="1" applyFont="1" applyFill="1" applyBorder="1"/>
    <xf numFmtId="0" fontId="32" fillId="13" borderId="0" xfId="0" applyFont="1" applyFill="1" applyAlignment="1">
      <alignment horizontal="left" vertical="center"/>
    </xf>
    <xf numFmtId="0" fontId="40" fillId="13" borderId="0" xfId="0" applyFont="1" applyFill="1" applyAlignment="1">
      <alignment horizontal="center" vertical="center"/>
    </xf>
    <xf numFmtId="0" fontId="32" fillId="13" borderId="15" xfId="0" applyFont="1" applyFill="1" applyBorder="1" applyAlignment="1">
      <alignment vertical="center"/>
    </xf>
    <xf numFmtId="0" fontId="32" fillId="13" borderId="16" xfId="0" applyFont="1" applyFill="1" applyBorder="1" applyAlignment="1">
      <alignment horizontal="right" vertical="center"/>
    </xf>
    <xf numFmtId="0" fontId="32" fillId="13" borderId="16" xfId="0" applyFont="1" applyFill="1" applyBorder="1" applyAlignment="1">
      <alignment horizontal="center" vertical="center"/>
    </xf>
    <xf numFmtId="0" fontId="7" fillId="13" borderId="17" xfId="0" applyFont="1" applyFill="1" applyBorder="1" applyAlignment="1">
      <alignment vertical="center"/>
    </xf>
    <xf numFmtId="6" fontId="7" fillId="13" borderId="11" xfId="0" applyNumberFormat="1" applyFont="1" applyFill="1" applyBorder="1" applyAlignment="1">
      <alignment horizontal="right" vertical="center"/>
    </xf>
    <xf numFmtId="172" fontId="7" fillId="13" borderId="11" xfId="0" applyNumberFormat="1" applyFont="1" applyFill="1" applyBorder="1" applyAlignment="1">
      <alignment horizontal="right" vertical="center"/>
    </xf>
    <xf numFmtId="3" fontId="36" fillId="0" borderId="0" xfId="0" applyNumberFormat="1" applyFont="1" applyAlignment="1">
      <alignment horizontal="right" vertical="top" shrinkToFit="1"/>
    </xf>
    <xf numFmtId="4" fontId="36" fillId="0" borderId="0" xfId="0" applyNumberFormat="1" applyFont="1" applyAlignment="1">
      <alignment horizontal="right" vertical="top" shrinkToFit="1"/>
    </xf>
    <xf numFmtId="3" fontId="35" fillId="0" borderId="0" xfId="0" applyNumberFormat="1" applyFont="1"/>
    <xf numFmtId="3" fontId="37" fillId="0" borderId="0" xfId="0" applyNumberFormat="1" applyFont="1"/>
    <xf numFmtId="0" fontId="37" fillId="0" borderId="0" xfId="0" applyFont="1"/>
    <xf numFmtId="4" fontId="37" fillId="0" borderId="0" xfId="0" applyNumberFormat="1" applyFont="1"/>
    <xf numFmtId="4" fontId="24" fillId="0" borderId="0" xfId="0" applyNumberFormat="1" applyFont="1" applyAlignment="1">
      <alignment horizontal="right" vertical="top" shrinkToFit="1"/>
    </xf>
    <xf numFmtId="3" fontId="24" fillId="0" borderId="19" xfId="0" applyNumberFormat="1" applyFont="1" applyBorder="1" applyAlignment="1">
      <alignment horizontal="right" vertical="top" shrinkToFit="1"/>
    </xf>
    <xf numFmtId="3" fontId="6" fillId="0" borderId="0" xfId="0" applyNumberFormat="1" applyFont="1"/>
    <xf numFmtId="3" fontId="28" fillId="0" borderId="0" xfId="0" applyNumberFormat="1" applyFont="1"/>
    <xf numFmtId="0" fontId="28" fillId="0" borderId="0" xfId="0" applyFont="1"/>
    <xf numFmtId="4" fontId="28" fillId="0" borderId="0" xfId="0" applyNumberFormat="1" applyFont="1"/>
    <xf numFmtId="3" fontId="24" fillId="0" borderId="27" xfId="0" applyNumberFormat="1" applyFont="1" applyBorder="1" applyAlignment="1">
      <alignment horizontal="right" vertical="top" shrinkToFit="1"/>
    </xf>
    <xf numFmtId="3" fontId="6" fillId="0" borderId="1" xfId="0" applyNumberFormat="1" applyFont="1" applyBorder="1"/>
    <xf numFmtId="6" fontId="0" fillId="0" borderId="0" xfId="2" applyNumberFormat="1" applyFont="1"/>
    <xf numFmtId="0" fontId="41" fillId="0" borderId="0" xfId="0" applyFont="1" applyAlignment="1">
      <alignment horizontal="center" vertical="center" wrapText="1"/>
    </xf>
    <xf numFmtId="0" fontId="41" fillId="3" borderId="0" xfId="0" applyFont="1" applyFill="1" applyAlignment="1">
      <alignment horizontal="center" vertical="center" wrapText="1"/>
    </xf>
    <xf numFmtId="0" fontId="0" fillId="0" borderId="0" xfId="0" applyAlignment="1">
      <alignment horizontal="center" vertical="center" wrapText="1"/>
    </xf>
    <xf numFmtId="0" fontId="41" fillId="0" borderId="0" xfId="0" applyFont="1" applyAlignment="1">
      <alignment horizontal="center"/>
    </xf>
    <xf numFmtId="0" fontId="41" fillId="7" borderId="0" xfId="0" applyFont="1" applyFill="1" applyAlignment="1">
      <alignment horizontal="center"/>
    </xf>
    <xf numFmtId="164" fontId="41" fillId="0" borderId="0" xfId="1" applyNumberFormat="1" applyFont="1"/>
    <xf numFmtId="164" fontId="41" fillId="0" borderId="0" xfId="0" applyNumberFormat="1" applyFont="1"/>
    <xf numFmtId="0" fontId="41" fillId="3" borderId="0" xfId="0" applyFont="1" applyFill="1"/>
    <xf numFmtId="174" fontId="41" fillId="0" borderId="0" xfId="4" applyNumberFormat="1" applyFont="1"/>
    <xf numFmtId="0" fontId="41" fillId="0" borderId="0" xfId="0" applyFont="1"/>
    <xf numFmtId="0" fontId="0" fillId="0" borderId="0" xfId="0" quotePrefix="1"/>
    <xf numFmtId="164" fontId="41" fillId="3" borderId="0" xfId="1" applyNumberFormat="1" applyFont="1" applyFill="1"/>
    <xf numFmtId="9" fontId="41" fillId="0" borderId="0" xfId="4" applyFont="1"/>
    <xf numFmtId="2" fontId="7" fillId="13" borderId="11" xfId="0" applyNumberFormat="1" applyFont="1" applyFill="1" applyBorder="1" applyAlignment="1">
      <alignment horizontal="right" vertical="center"/>
    </xf>
    <xf numFmtId="3" fontId="7" fillId="0" borderId="0" xfId="0" applyNumberFormat="1" applyFont="1"/>
    <xf numFmtId="9" fontId="7" fillId="0" borderId="0" xfId="0" applyNumberFormat="1" applyFont="1"/>
    <xf numFmtId="10" fontId="7" fillId="0" borderId="0" xfId="0" applyNumberFormat="1" applyFont="1"/>
    <xf numFmtId="0" fontId="42" fillId="0" borderId="0" xfId="3" applyFont="1"/>
    <xf numFmtId="0" fontId="0" fillId="0" borderId="0" xfId="0" applyAlignment="1">
      <alignment vertical="center"/>
    </xf>
    <xf numFmtId="0" fontId="44" fillId="0" borderId="0" xfId="0" applyFont="1"/>
    <xf numFmtId="0" fontId="3" fillId="14" borderId="0" xfId="0" applyFont="1" applyFill="1" applyAlignment="1">
      <alignment horizontal="left"/>
    </xf>
    <xf numFmtId="0" fontId="0" fillId="14" borderId="0" xfId="0" applyFill="1" applyAlignment="1">
      <alignment horizontal="center"/>
    </xf>
    <xf numFmtId="0" fontId="3" fillId="0" borderId="0" xfId="0" applyFont="1" applyAlignment="1">
      <alignment horizontal="center"/>
    </xf>
    <xf numFmtId="0" fontId="3" fillId="15" borderId="0" xfId="0" applyFont="1" applyFill="1" applyAlignment="1">
      <alignment horizontal="left" vertical="center"/>
    </xf>
    <xf numFmtId="0" fontId="0" fillId="15" borderId="0" xfId="0" applyFill="1"/>
    <xf numFmtId="164" fontId="0" fillId="15" borderId="0" xfId="1" applyNumberFormat="1" applyFont="1" applyFill="1" applyAlignment="1"/>
    <xf numFmtId="164" fontId="0" fillId="15" borderId="0" xfId="1" applyNumberFormat="1" applyFont="1" applyFill="1"/>
    <xf numFmtId="0" fontId="3" fillId="16" borderId="0" xfId="0" applyFont="1" applyFill="1" applyAlignment="1">
      <alignment horizontal="left" vertical="center"/>
    </xf>
    <xf numFmtId="0" fontId="0" fillId="16" borderId="0" xfId="0" applyFill="1"/>
    <xf numFmtId="164" fontId="0" fillId="16" borderId="0" xfId="1" applyNumberFormat="1" applyFont="1" applyFill="1"/>
    <xf numFmtId="0" fontId="3" fillId="17" borderId="0" xfId="0" applyFont="1" applyFill="1" applyAlignment="1">
      <alignment horizontal="left" vertical="center" wrapText="1"/>
    </xf>
    <xf numFmtId="0" fontId="0" fillId="17" borderId="0" xfId="0" applyFill="1"/>
    <xf numFmtId="164" fontId="0" fillId="17" borderId="0" xfId="1" applyNumberFormat="1" applyFont="1" applyFill="1"/>
    <xf numFmtId="0" fontId="47" fillId="0" borderId="0" xfId="0" applyFont="1"/>
    <xf numFmtId="0" fontId="0" fillId="0" borderId="1" xfId="0" applyBorder="1" applyAlignment="1">
      <alignment vertical="center" wrapText="1"/>
    </xf>
    <xf numFmtId="0" fontId="3" fillId="0" borderId="1" xfId="0" applyFont="1" applyBorder="1" applyAlignment="1">
      <alignment horizontal="center" vertical="center"/>
    </xf>
    <xf numFmtId="0" fontId="3" fillId="3" borderId="1" xfId="0" applyFont="1" applyFill="1" applyBorder="1" applyAlignment="1">
      <alignment vertical="center"/>
    </xf>
    <xf numFmtId="0" fontId="3" fillId="0" borderId="0" xfId="0" applyFont="1" applyAlignment="1">
      <alignment vertical="center"/>
    </xf>
    <xf numFmtId="0" fontId="0" fillId="0" borderId="1" xfId="0" applyBorder="1" applyAlignment="1">
      <alignment horizontal="center" vertical="center"/>
    </xf>
    <xf numFmtId="0" fontId="4" fillId="0" borderId="1" xfId="3" applyFill="1" applyBorder="1" applyAlignment="1">
      <alignment vertical="center"/>
    </xf>
    <xf numFmtId="0" fontId="0" fillId="0" borderId="1" xfId="0" applyBorder="1" applyAlignment="1">
      <alignment vertical="center"/>
    </xf>
    <xf numFmtId="0" fontId="4" fillId="0" borderId="1" xfId="3" applyFill="1" applyBorder="1" applyAlignment="1">
      <alignment vertical="center" wrapText="1"/>
    </xf>
    <xf numFmtId="0" fontId="6" fillId="0" borderId="1" xfId="3" applyFont="1" applyFill="1" applyBorder="1" applyAlignment="1">
      <alignment vertical="center" wrapText="1"/>
    </xf>
    <xf numFmtId="0" fontId="28" fillId="18" borderId="0" xfId="0" applyFont="1" applyFill="1" applyAlignment="1">
      <alignment horizontal="center" vertical="center" wrapText="1"/>
    </xf>
    <xf numFmtId="9" fontId="6" fillId="18" borderId="0" xfId="4" applyFont="1" applyFill="1" applyAlignment="1">
      <alignment horizontal="center"/>
    </xf>
    <xf numFmtId="9" fontId="28" fillId="18" borderId="0" xfId="0" applyNumberFormat="1" applyFont="1" applyFill="1" applyAlignment="1">
      <alignment horizontal="center"/>
    </xf>
    <xf numFmtId="9" fontId="0" fillId="0" borderId="0" xfId="4" applyFont="1" applyFill="1"/>
    <xf numFmtId="1" fontId="0" fillId="7" borderId="0" xfId="0" applyNumberFormat="1" applyFill="1"/>
    <xf numFmtId="175" fontId="0" fillId="0" borderId="0" xfId="0" applyNumberFormat="1"/>
    <xf numFmtId="164" fontId="0" fillId="4" borderId="0" xfId="0" applyNumberFormat="1" applyFill="1"/>
    <xf numFmtId="8" fontId="48" fillId="0" borderId="0" xfId="0" applyNumberFormat="1" applyFont="1"/>
    <xf numFmtId="172" fontId="0" fillId="0" borderId="0" xfId="0" applyNumberFormat="1"/>
    <xf numFmtId="176" fontId="0" fillId="0" borderId="0" xfId="0" applyNumberFormat="1"/>
    <xf numFmtId="0" fontId="6" fillId="0" borderId="1" xfId="0" applyFont="1" applyBorder="1" applyAlignment="1">
      <alignment horizontal="center"/>
    </xf>
    <xf numFmtId="0" fontId="7" fillId="0" borderId="0" xfId="0" applyFont="1" applyAlignment="1">
      <alignment horizontal="center"/>
    </xf>
    <xf numFmtId="0" fontId="24" fillId="0" borderId="20" xfId="0" applyFont="1" applyBorder="1" applyAlignment="1">
      <alignment horizontal="left" vertical="top" wrapText="1"/>
    </xf>
    <xf numFmtId="0" fontId="24" fillId="0" borderId="21" xfId="0" applyFont="1" applyBorder="1" applyAlignment="1">
      <alignment horizontal="left" vertical="top" wrapText="1"/>
    </xf>
    <xf numFmtId="0" fontId="24" fillId="0" borderId="22" xfId="0" applyFont="1" applyBorder="1" applyAlignment="1">
      <alignment horizontal="left" vertical="top" wrapText="1"/>
    </xf>
    <xf numFmtId="0" fontId="27" fillId="0" borderId="20" xfId="0" applyFont="1" applyBorder="1" applyAlignment="1">
      <alignment horizontal="left" vertical="top" wrapText="1" indent="1"/>
    </xf>
    <xf numFmtId="0" fontId="27" fillId="0" borderId="21" xfId="0" applyFont="1" applyBorder="1" applyAlignment="1">
      <alignment horizontal="left" vertical="top" wrapText="1" indent="1"/>
    </xf>
    <xf numFmtId="0" fontId="27" fillId="0" borderId="22" xfId="0" applyFont="1" applyBorder="1" applyAlignment="1">
      <alignment horizontal="left" vertical="top" wrapText="1" indent="1"/>
    </xf>
  </cellXfs>
  <cellStyles count="35">
    <cellStyle name="Comma" xfId="1" builtinId="3"/>
    <cellStyle name="Currency" xfId="2" builtinId="4"/>
    <cellStyle name="Data" xfId="6" xr:uid="{C7A5D67F-C838-453C-B88B-8B7223805476}"/>
    <cellStyle name="Data Superscript" xfId="7" xr:uid="{DCEF45D7-EB99-4D3F-A4BD-A812731C27DB}"/>
    <cellStyle name="Data_1-43A" xfId="8" xr:uid="{8C02B12D-D12E-4B3E-A146-DC0CCE12C467}"/>
    <cellStyle name="Data-one deci" xfId="9" xr:uid="{17483C5D-75F1-46B9-9B75-AA93BC897AEB}"/>
    <cellStyle name="Hed Side" xfId="10" xr:uid="{76A61A2B-5E03-4F8D-8201-78928C68194E}"/>
    <cellStyle name="Hed Side bold" xfId="11" xr:uid="{1C3534A6-80BC-485B-8826-DB0E83D96026}"/>
    <cellStyle name="Hed Side Regular" xfId="12" xr:uid="{670C74B9-AC42-4F43-89FA-7F0FFC5E5AA1}"/>
    <cellStyle name="Hed Side_1-43A" xfId="13" xr:uid="{178BFF96-3E64-413E-8F8B-FA8F381CDEB2}"/>
    <cellStyle name="Hed Top" xfId="14" xr:uid="{41A2F67A-EA36-4F90-B910-E2FB226673D7}"/>
    <cellStyle name="Hyperlink" xfId="3" builtinId="8"/>
    <cellStyle name="Normal" xfId="0" builtinId="0"/>
    <cellStyle name="Normal 2" xfId="15" xr:uid="{9B6D1712-678B-4EDE-9981-8E53D96AAE85}"/>
    <cellStyle name="Normal 3" xfId="5" xr:uid="{0FF40C92-4B34-4B24-8ADC-F7CB888A98F2}"/>
    <cellStyle name="Percent" xfId="4" builtinId="5"/>
    <cellStyle name="Source Hed" xfId="16" xr:uid="{3724DC73-A9FB-45FC-A2CD-D0EECD2F28CA}"/>
    <cellStyle name="Source Superscript" xfId="17" xr:uid="{635E313E-21B6-47E1-885C-0C131B7F426E}"/>
    <cellStyle name="Source Text" xfId="18" xr:uid="{28E84479-555E-4541-B2B4-D782F5C413F2}"/>
    <cellStyle name="Superscript" xfId="19" xr:uid="{ACCF2C5F-BFAF-46EA-9D89-056A5CB9EBD7}"/>
    <cellStyle name="Superscript- regular" xfId="20" xr:uid="{2B07C9CE-59B0-470C-9EB8-60E129DFA03B}"/>
    <cellStyle name="Superscript_1-43A" xfId="21" xr:uid="{390E1D8A-C420-4F66-9356-8F4DF048FBE4}"/>
    <cellStyle name="Table Data" xfId="22" xr:uid="{3AB972B1-90EE-4854-9CB1-CA145E186FF6}"/>
    <cellStyle name="Table Head Top" xfId="23" xr:uid="{580D2082-D58A-4CE5-9FC5-68D56BF9D208}"/>
    <cellStyle name="Table Hed Side" xfId="24" xr:uid="{99AF08DB-4FA3-4F07-ABE0-DFE9A59E93B3}"/>
    <cellStyle name="Table Title" xfId="25" xr:uid="{75CC1FE1-815B-416E-BDC4-A4B8CB4D5C32}"/>
    <cellStyle name="Title Text" xfId="26" xr:uid="{295CD85E-D389-418C-B932-B8BCEC834BD1}"/>
    <cellStyle name="Title Text 1" xfId="27" xr:uid="{AF82EC28-EF97-49BE-ACD8-2E292E3FDB42}"/>
    <cellStyle name="Title Text 2" xfId="28" xr:uid="{7C0A8966-2A48-406D-8BBC-93144A3FFE34}"/>
    <cellStyle name="Title-1" xfId="29" xr:uid="{2AF30C2B-66ED-4EE7-8984-58EF8CD3E3E2}"/>
    <cellStyle name="Title-2" xfId="30" xr:uid="{DDDB4952-FC6E-4ADC-8430-B90C6D999B14}"/>
    <cellStyle name="Title-3" xfId="31" xr:uid="{7DB9C830-F611-4033-921C-F8AEBAE691F0}"/>
    <cellStyle name="Wrap" xfId="32" xr:uid="{9D6C95B2-34A7-4152-9EAE-E640C647B08A}"/>
    <cellStyle name="Wrap Bold" xfId="33" xr:uid="{30D09052-A278-4BED-A68E-C57A96939836}"/>
    <cellStyle name="Wrap Title" xfId="34" xr:uid="{ADA6C713-EA4A-49F7-8449-A466D999BA8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hyperlink" Target="https://crashstats.nhtsa.dot.gov/Api/Public/ViewPublication/813376" TargetMode="External"/><Relationship Id="rId1" Type="http://schemas.openxmlformats.org/officeDocument/2006/relationships/hyperlink" Target="https://crashstats.nhtsa.dot.gov/Api/Public/ViewPublication/813369"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3</xdr:col>
      <xdr:colOff>1149350</xdr:colOff>
      <xdr:row>18</xdr:row>
      <xdr:rowOff>225425</xdr:rowOff>
    </xdr:from>
    <xdr:to>
      <xdr:col>3</xdr:col>
      <xdr:colOff>4438650</xdr:colOff>
      <xdr:row>18</xdr:row>
      <xdr:rowOff>368300</xdr:rowOff>
    </xdr:to>
    <xdr:sp macro="" textlink="">
      <xdr:nvSpPr>
        <xdr:cNvPr id="12" name="Rectangle 1">
          <a:hlinkClick xmlns:r="http://schemas.openxmlformats.org/officeDocument/2006/relationships" r:id="rId1"/>
          <a:extLst>
            <a:ext uri="{FF2B5EF4-FFF2-40B4-BE49-F238E27FC236}">
              <a16:creationId xmlns:a16="http://schemas.microsoft.com/office/drawing/2014/main" id="{886FC30A-FBD7-5B1A-ED6F-CDE7AB0ACDEA}"/>
            </a:ext>
          </a:extLst>
        </xdr:cNvPr>
        <xdr:cNvSpPr/>
      </xdr:nvSpPr>
      <xdr:spPr>
        <a:xfrm>
          <a:off x="7616825" y="7893050"/>
          <a:ext cx="3289300" cy="1428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3876675</xdr:colOff>
      <xdr:row>18</xdr:row>
      <xdr:rowOff>415925</xdr:rowOff>
    </xdr:from>
    <xdr:to>
      <xdr:col>3</xdr:col>
      <xdr:colOff>4530725</xdr:colOff>
      <xdr:row>18</xdr:row>
      <xdr:rowOff>723900</xdr:rowOff>
    </xdr:to>
    <xdr:sp macro="" textlink="">
      <xdr:nvSpPr>
        <xdr:cNvPr id="18" name="Rectangle 2">
          <a:hlinkClick xmlns:r="http://schemas.openxmlformats.org/officeDocument/2006/relationships" r:id="rId2"/>
          <a:extLst>
            <a:ext uri="{FF2B5EF4-FFF2-40B4-BE49-F238E27FC236}">
              <a16:creationId xmlns:a16="http://schemas.microsoft.com/office/drawing/2014/main" id="{013C5469-A360-1D04-739E-A0D36219FE9B}"/>
            </a:ext>
          </a:extLst>
        </xdr:cNvPr>
        <xdr:cNvSpPr/>
      </xdr:nvSpPr>
      <xdr:spPr>
        <a:xfrm>
          <a:off x="6457950" y="8083550"/>
          <a:ext cx="4540250" cy="3079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10</xdr:col>
      <xdr:colOff>459117</xdr:colOff>
      <xdr:row>46</xdr:row>
      <xdr:rowOff>172535</xdr:rowOff>
    </xdr:to>
    <xdr:pic>
      <xdr:nvPicPr>
        <xdr:cNvPr id="2" name="Picture 1">
          <a:extLst>
            <a:ext uri="{FF2B5EF4-FFF2-40B4-BE49-F238E27FC236}">
              <a16:creationId xmlns:a16="http://schemas.microsoft.com/office/drawing/2014/main" id="{780F052D-8015-C56C-06B7-7D74B2D303A6}"/>
            </a:ext>
          </a:extLst>
        </xdr:cNvPr>
        <xdr:cNvPicPr>
          <a:picLocks noChangeAspect="1"/>
        </xdr:cNvPicPr>
      </xdr:nvPicPr>
      <xdr:blipFill>
        <a:blip xmlns:r="http://schemas.openxmlformats.org/officeDocument/2006/relationships" r:embed="rId1"/>
        <a:stretch>
          <a:fillRect/>
        </a:stretch>
      </xdr:blipFill>
      <xdr:spPr>
        <a:xfrm>
          <a:off x="0" y="3324225"/>
          <a:ext cx="13736967" cy="777348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457201</xdr:colOff>
      <xdr:row>0</xdr:row>
      <xdr:rowOff>25400</xdr:rowOff>
    </xdr:from>
    <xdr:to>
      <xdr:col>16</xdr:col>
      <xdr:colOff>107951</xdr:colOff>
      <xdr:row>9</xdr:row>
      <xdr:rowOff>172592</xdr:rowOff>
    </xdr:to>
    <xdr:pic>
      <xdr:nvPicPr>
        <xdr:cNvPr id="2" name="Picture 1">
          <a:extLst>
            <a:ext uri="{FF2B5EF4-FFF2-40B4-BE49-F238E27FC236}">
              <a16:creationId xmlns:a16="http://schemas.microsoft.com/office/drawing/2014/main" id="{432777CA-AC4E-06C8-D6FD-C1CCCC2F7A93}"/>
            </a:ext>
          </a:extLst>
        </xdr:cNvPr>
        <xdr:cNvPicPr>
          <a:picLocks noChangeAspect="1"/>
        </xdr:cNvPicPr>
      </xdr:nvPicPr>
      <xdr:blipFill>
        <a:blip xmlns:r="http://schemas.openxmlformats.org/officeDocument/2006/relationships" r:embed="rId1"/>
        <a:stretch>
          <a:fillRect/>
        </a:stretch>
      </xdr:blipFill>
      <xdr:spPr>
        <a:xfrm>
          <a:off x="5467351" y="25400"/>
          <a:ext cx="9779000" cy="180454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57150</xdr:colOff>
      <xdr:row>16</xdr:row>
      <xdr:rowOff>78105</xdr:rowOff>
    </xdr:from>
    <xdr:to>
      <xdr:col>9</xdr:col>
      <xdr:colOff>437259</xdr:colOff>
      <xdr:row>37</xdr:row>
      <xdr:rowOff>151047</xdr:rowOff>
    </xdr:to>
    <xdr:pic>
      <xdr:nvPicPr>
        <xdr:cNvPr id="2" name="Picture 1">
          <a:extLst>
            <a:ext uri="{FF2B5EF4-FFF2-40B4-BE49-F238E27FC236}">
              <a16:creationId xmlns:a16="http://schemas.microsoft.com/office/drawing/2014/main" id="{ACA4A2CA-EF45-4C76-B2BD-10B21EA01C8E}"/>
            </a:ext>
          </a:extLst>
        </xdr:cNvPr>
        <xdr:cNvPicPr>
          <a:picLocks noChangeAspect="1"/>
        </xdr:cNvPicPr>
      </xdr:nvPicPr>
      <xdr:blipFill>
        <a:blip xmlns:r="http://schemas.openxmlformats.org/officeDocument/2006/relationships" r:embed="rId1"/>
        <a:stretch>
          <a:fillRect/>
        </a:stretch>
      </xdr:blipFill>
      <xdr:spPr>
        <a:xfrm>
          <a:off x="57150" y="3145155"/>
          <a:ext cx="7257159" cy="3930567"/>
        </a:xfrm>
        <a:prstGeom prst="rect">
          <a:avLst/>
        </a:prstGeom>
      </xdr:spPr>
    </xdr:pic>
    <xdr:clientData/>
  </xdr:twoCellAnchor>
  <xdr:twoCellAnchor editAs="oneCell">
    <xdr:from>
      <xdr:col>13</xdr:col>
      <xdr:colOff>43815</xdr:colOff>
      <xdr:row>12</xdr:row>
      <xdr:rowOff>36195</xdr:rowOff>
    </xdr:from>
    <xdr:to>
      <xdr:col>22</xdr:col>
      <xdr:colOff>428625</xdr:colOff>
      <xdr:row>32</xdr:row>
      <xdr:rowOff>129540</xdr:rowOff>
    </xdr:to>
    <xdr:pic>
      <xdr:nvPicPr>
        <xdr:cNvPr id="3" name="Picture 2">
          <a:extLst>
            <a:ext uri="{FF2B5EF4-FFF2-40B4-BE49-F238E27FC236}">
              <a16:creationId xmlns:a16="http://schemas.microsoft.com/office/drawing/2014/main" id="{4790BA1C-61C1-4482-938D-1EBB04925397}"/>
            </a:ext>
          </a:extLst>
        </xdr:cNvPr>
        <xdr:cNvPicPr>
          <a:picLocks noChangeAspect="1"/>
        </xdr:cNvPicPr>
      </xdr:nvPicPr>
      <xdr:blipFill>
        <a:blip xmlns:r="http://schemas.openxmlformats.org/officeDocument/2006/relationships" r:embed="rId2"/>
        <a:stretch>
          <a:fillRect/>
        </a:stretch>
      </xdr:blipFill>
      <xdr:spPr>
        <a:xfrm>
          <a:off x="7968615" y="2379345"/>
          <a:ext cx="7166610" cy="3745230"/>
        </a:xfrm>
        <a:prstGeom prst="rect">
          <a:avLst/>
        </a:prstGeom>
      </xdr:spPr>
    </xdr:pic>
    <xdr:clientData/>
  </xdr:twoCellAnchor>
  <xdr:twoCellAnchor editAs="oneCell">
    <xdr:from>
      <xdr:col>0</xdr:col>
      <xdr:colOff>11546</xdr:colOff>
      <xdr:row>16</xdr:row>
      <xdr:rowOff>115455</xdr:rowOff>
    </xdr:from>
    <xdr:to>
      <xdr:col>10</xdr:col>
      <xdr:colOff>35214</xdr:colOff>
      <xdr:row>39</xdr:row>
      <xdr:rowOff>137391</xdr:rowOff>
    </xdr:to>
    <xdr:pic>
      <xdr:nvPicPr>
        <xdr:cNvPr id="4" name="Picture 3">
          <a:extLst>
            <a:ext uri="{FF2B5EF4-FFF2-40B4-BE49-F238E27FC236}">
              <a16:creationId xmlns:a16="http://schemas.microsoft.com/office/drawing/2014/main" id="{5E4B4150-F560-8178-CEC9-2F4284E202C7}"/>
            </a:ext>
          </a:extLst>
        </xdr:cNvPr>
        <xdr:cNvPicPr>
          <a:picLocks noChangeAspect="1"/>
        </xdr:cNvPicPr>
      </xdr:nvPicPr>
      <xdr:blipFill>
        <a:blip xmlns:r="http://schemas.openxmlformats.org/officeDocument/2006/relationships" r:embed="rId3"/>
        <a:stretch>
          <a:fillRect/>
        </a:stretch>
      </xdr:blipFill>
      <xdr:spPr>
        <a:xfrm>
          <a:off x="11546" y="3221182"/>
          <a:ext cx="7562850" cy="4305300"/>
        </a:xfrm>
        <a:prstGeom prst="rect">
          <a:avLst/>
        </a:prstGeom>
      </xdr:spPr>
    </xdr:pic>
    <xdr:clientData/>
  </xdr:twoCellAnchor>
  <xdr:twoCellAnchor editAs="oneCell">
    <xdr:from>
      <xdr:col>12</xdr:col>
      <xdr:colOff>301006</xdr:colOff>
      <xdr:row>11</xdr:row>
      <xdr:rowOff>41235</xdr:rowOff>
    </xdr:from>
    <xdr:to>
      <xdr:col>23</xdr:col>
      <xdr:colOff>165058</xdr:colOff>
      <xdr:row>35</xdr:row>
      <xdr:rowOff>87994</xdr:rowOff>
    </xdr:to>
    <xdr:pic>
      <xdr:nvPicPr>
        <xdr:cNvPr id="5" name="Picture 4">
          <a:extLst>
            <a:ext uri="{FF2B5EF4-FFF2-40B4-BE49-F238E27FC236}">
              <a16:creationId xmlns:a16="http://schemas.microsoft.com/office/drawing/2014/main" id="{B562490F-87D7-7C75-24A0-C772CE8E4EAA}"/>
            </a:ext>
          </a:extLst>
        </xdr:cNvPr>
        <xdr:cNvPicPr>
          <a:picLocks noChangeAspect="1"/>
        </xdr:cNvPicPr>
      </xdr:nvPicPr>
      <xdr:blipFill>
        <a:blip xmlns:r="http://schemas.openxmlformats.org/officeDocument/2006/relationships" r:embed="rId4"/>
        <a:stretch>
          <a:fillRect/>
        </a:stretch>
      </xdr:blipFill>
      <xdr:spPr>
        <a:xfrm>
          <a:off x="9018649" y="2209306"/>
          <a:ext cx="7892266" cy="4455474"/>
        </a:xfrm>
        <a:prstGeom prst="rect">
          <a:avLst/>
        </a:prstGeom>
      </xdr:spPr>
    </xdr:pic>
    <xdr:clientData/>
  </xdr:twoCellAnchor>
  <xdr:twoCellAnchor editAs="oneCell">
    <xdr:from>
      <xdr:col>12</xdr:col>
      <xdr:colOff>103910</xdr:colOff>
      <xdr:row>35</xdr:row>
      <xdr:rowOff>92364</xdr:rowOff>
    </xdr:from>
    <xdr:to>
      <xdr:col>22</xdr:col>
      <xdr:colOff>589396</xdr:colOff>
      <xdr:row>57</xdr:row>
      <xdr:rowOff>179244</xdr:rowOff>
    </xdr:to>
    <xdr:pic>
      <xdr:nvPicPr>
        <xdr:cNvPr id="6" name="Picture 5">
          <a:extLst>
            <a:ext uri="{FF2B5EF4-FFF2-40B4-BE49-F238E27FC236}">
              <a16:creationId xmlns:a16="http://schemas.microsoft.com/office/drawing/2014/main" id="{EE343FEB-2398-5E1E-A6F6-4DF4F434F65E}"/>
            </a:ext>
          </a:extLst>
        </xdr:cNvPr>
        <xdr:cNvPicPr>
          <a:picLocks noChangeAspect="1"/>
        </xdr:cNvPicPr>
      </xdr:nvPicPr>
      <xdr:blipFill>
        <a:blip xmlns:r="http://schemas.openxmlformats.org/officeDocument/2006/relationships" r:embed="rId5"/>
        <a:stretch>
          <a:fillRect/>
        </a:stretch>
      </xdr:blipFill>
      <xdr:spPr>
        <a:xfrm>
          <a:off x="8866910" y="6742546"/>
          <a:ext cx="7943850" cy="41624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0</xdr:colOff>
      <xdr:row>2</xdr:row>
      <xdr:rowOff>179070</xdr:rowOff>
    </xdr:from>
    <xdr:ext cx="1849481" cy="182614"/>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1C7ADD21-BEAC-4A2D-B314-C867BE192414}"/>
                </a:ext>
              </a:extLst>
            </xdr:cNvPr>
            <xdr:cNvSpPr txBox="1"/>
          </xdr:nvSpPr>
          <xdr:spPr>
            <a:xfrm>
              <a:off x="0" y="539115"/>
              <a:ext cx="1849481" cy="1826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𝐸</m:t>
                        </m:r>
                      </m:e>
                      <m:sub>
                        <m:r>
                          <a:rPr lang="en-US" sz="1100" b="0" i="1">
                            <a:latin typeface="Cambria Math" panose="02040503050406030204" pitchFamily="18" charset="0"/>
                          </a:rPr>
                          <m:t>𝑝</m:t>
                        </m:r>
                        <m:r>
                          <a:rPr lang="en-US" sz="1100" b="0" i="1">
                            <a:latin typeface="Cambria Math" panose="02040503050406030204" pitchFamily="18" charset="0"/>
                          </a:rPr>
                          <m:t>,</m:t>
                        </m:r>
                        <m:r>
                          <a:rPr lang="en-US" sz="1100" b="0" i="1">
                            <a:latin typeface="Cambria Math" panose="02040503050406030204" pitchFamily="18" charset="0"/>
                          </a:rPr>
                          <m:t>𝑖</m:t>
                        </m:r>
                      </m:sub>
                    </m:sSub>
                    <m:r>
                      <a:rPr lang="en-US" sz="1100" i="1">
                        <a:latin typeface="Cambria Math" panose="02040503050406030204" pitchFamily="18" charset="0"/>
                        <a:ea typeface="Cambria Math" panose="02040503050406030204" pitchFamily="18" charset="0"/>
                      </a:rPr>
                      <m:t>=</m:t>
                    </m:r>
                    <m:sSub>
                      <m:sSubPr>
                        <m:ctrlPr>
                          <a:rPr lang="en-US" sz="110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𝑃</m:t>
                        </m:r>
                      </m:e>
                      <m:sub>
                        <m:r>
                          <a:rPr lang="en-US" sz="1100" b="0" i="1">
                            <a:latin typeface="Cambria Math" panose="02040503050406030204" pitchFamily="18" charset="0"/>
                            <a:ea typeface="Cambria Math" panose="02040503050406030204" pitchFamily="18" charset="0"/>
                          </a:rPr>
                          <m:t>𝑝</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𝑖</m:t>
                        </m:r>
                      </m:sub>
                    </m:sSub>
                    <m:r>
                      <a:rPr lang="en-US" sz="1100" i="1">
                        <a:latin typeface="Cambria Math" panose="02040503050406030204" pitchFamily="18" charset="0"/>
                        <a:ea typeface="Cambria Math" panose="02040503050406030204" pitchFamily="18" charset="0"/>
                      </a:rPr>
                      <m:t>×</m:t>
                    </m:r>
                    <m:sSub>
                      <m:sSubPr>
                        <m:ctrlPr>
                          <a:rPr lang="en-US" sz="110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𝐴</m:t>
                        </m:r>
                      </m:e>
                      <m:sub>
                        <m:r>
                          <a:rPr lang="en-US" sz="1100" b="0" i="1">
                            <a:latin typeface="Cambria Math" panose="02040503050406030204" pitchFamily="18" charset="0"/>
                            <a:ea typeface="Cambria Math" panose="02040503050406030204" pitchFamily="18" charset="0"/>
                          </a:rPr>
                          <m:t>𝑖</m:t>
                        </m:r>
                      </m:sub>
                    </m:sSub>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𝐸𝐹</m:t>
                    </m:r>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𝐿𝐿𝐴𝐹</m:t>
                        </m:r>
                      </m:e>
                      <m:sub>
                        <m:r>
                          <a:rPr lang="en-US" sz="1100" b="0" i="1">
                            <a:latin typeface="Cambria Math" panose="02040503050406030204" pitchFamily="18" charset="0"/>
                            <a:ea typeface="Cambria Math" panose="02040503050406030204" pitchFamily="18" charset="0"/>
                          </a:rPr>
                          <m:t>𝑖</m:t>
                        </m:r>
                      </m:sub>
                    </m:sSub>
                  </m:oMath>
                </m:oMathPara>
              </a14:m>
              <a:endParaRPr lang="en-US" sz="1100"/>
            </a:p>
          </xdr:txBody>
        </xdr:sp>
      </mc:Choice>
      <mc:Fallback xmlns="">
        <xdr:sp macro="" textlink="">
          <xdr:nvSpPr>
            <xdr:cNvPr id="2" name="TextBox 1">
              <a:extLst>
                <a:ext uri="{FF2B5EF4-FFF2-40B4-BE49-F238E27FC236}">
                  <a16:creationId xmlns:a16="http://schemas.microsoft.com/office/drawing/2014/main" id="{1C7ADD21-BEAC-4A2D-B314-C867BE192414}"/>
                </a:ext>
              </a:extLst>
            </xdr:cNvPr>
            <xdr:cNvSpPr txBox="1"/>
          </xdr:nvSpPr>
          <xdr:spPr>
            <a:xfrm>
              <a:off x="0" y="539115"/>
              <a:ext cx="1849481" cy="1826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latin typeface="Cambria Math" panose="02040503050406030204" pitchFamily="18" charset="0"/>
                </a:rPr>
                <a:t>𝐸_(𝑝,𝑖)</a:t>
              </a: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𝑃_(𝑝,𝑖)</a:t>
              </a: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𝐴_𝑖</a:t>
              </a: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𝐸𝐹×〖𝐿𝐿𝐴𝐹〗_𝑖</a:t>
              </a:r>
              <a:endParaRPr lang="en-US" sz="1100"/>
            </a:p>
          </xdr:txBody>
        </xdr:sp>
      </mc:Fallback>
    </mc:AlternateContent>
    <xdr:clientData/>
  </xdr:oneCellAnchor>
  <xdr:oneCellAnchor>
    <xdr:from>
      <xdr:col>2</xdr:col>
      <xdr:colOff>0</xdr:colOff>
      <xdr:row>2</xdr:row>
      <xdr:rowOff>179070</xdr:rowOff>
    </xdr:from>
    <xdr:ext cx="1276823" cy="176972"/>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0771E09D-7F02-4E4B-B2D1-6E18C7CC586F}"/>
                </a:ext>
              </a:extLst>
            </xdr:cNvPr>
            <xdr:cNvSpPr txBox="1"/>
          </xdr:nvSpPr>
          <xdr:spPr>
            <a:xfrm>
              <a:off x="3695700" y="539115"/>
              <a:ext cx="1276823"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𝐸</m:t>
                        </m:r>
                      </m:e>
                      <m:sub>
                        <m:r>
                          <a:rPr lang="en-US" sz="1100" b="0" i="1">
                            <a:latin typeface="Cambria Math" panose="02040503050406030204" pitchFamily="18" charset="0"/>
                          </a:rPr>
                          <m:t>𝑎</m:t>
                        </m:r>
                        <m:r>
                          <a:rPr lang="en-US" sz="1100" b="0" i="1">
                            <a:latin typeface="Cambria Math" panose="02040503050406030204" pitchFamily="18" charset="0"/>
                          </a:rPr>
                          <m:t>,</m:t>
                        </m:r>
                        <m:r>
                          <a:rPr lang="en-US" sz="1100" b="0" i="1">
                            <a:latin typeface="Cambria Math" panose="02040503050406030204" pitchFamily="18" charset="0"/>
                          </a:rPr>
                          <m:t>𝑖</m:t>
                        </m:r>
                      </m:sub>
                    </m:sSub>
                    <m:r>
                      <a:rPr lang="en-US" sz="1100" i="1">
                        <a:latin typeface="Cambria Math" panose="02040503050406030204" pitchFamily="18" charset="0"/>
                        <a:ea typeface="Cambria Math" panose="02040503050406030204" pitchFamily="18" charset="0"/>
                      </a:rPr>
                      <m:t>=</m:t>
                    </m:r>
                    <m:sSub>
                      <m:sSubPr>
                        <m:ctrlPr>
                          <a:rPr lang="en-US" sz="110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𝑃</m:t>
                        </m:r>
                      </m:e>
                      <m:sub>
                        <m:r>
                          <a:rPr lang="en-US" sz="1100" b="0" i="1">
                            <a:latin typeface="Cambria Math" panose="02040503050406030204" pitchFamily="18" charset="0"/>
                            <a:ea typeface="Cambria Math" panose="02040503050406030204" pitchFamily="18" charset="0"/>
                          </a:rPr>
                          <m:t>𝑎</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𝑖</m:t>
                        </m:r>
                      </m:sub>
                    </m:sSub>
                    <m:r>
                      <a:rPr lang="en-US" sz="1100" i="1">
                        <a:latin typeface="Cambria Math" panose="02040503050406030204" pitchFamily="18" charset="0"/>
                        <a:ea typeface="Cambria Math" panose="02040503050406030204" pitchFamily="18" charset="0"/>
                      </a:rPr>
                      <m:t>×</m:t>
                    </m:r>
                    <m:sSub>
                      <m:sSubPr>
                        <m:ctrlPr>
                          <a:rPr lang="en-US" sz="110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𝐴</m:t>
                        </m:r>
                      </m:e>
                      <m:sub>
                        <m:r>
                          <a:rPr lang="en-US" sz="1100" b="0" i="1">
                            <a:latin typeface="Cambria Math" panose="02040503050406030204" pitchFamily="18" charset="0"/>
                            <a:ea typeface="Cambria Math" panose="02040503050406030204" pitchFamily="18" charset="0"/>
                          </a:rPr>
                          <m:t>𝑖</m:t>
                        </m:r>
                      </m:sub>
                    </m:sSub>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𝐸𝐹</m:t>
                    </m:r>
                  </m:oMath>
                </m:oMathPara>
              </a14:m>
              <a:endParaRPr lang="en-US" sz="1100"/>
            </a:p>
          </xdr:txBody>
        </xdr:sp>
      </mc:Choice>
      <mc:Fallback xmlns="">
        <xdr:sp macro="" textlink="">
          <xdr:nvSpPr>
            <xdr:cNvPr id="3" name="TextBox 2">
              <a:extLst>
                <a:ext uri="{FF2B5EF4-FFF2-40B4-BE49-F238E27FC236}">
                  <a16:creationId xmlns:a16="http://schemas.microsoft.com/office/drawing/2014/main" id="{0771E09D-7F02-4E4B-B2D1-6E18C7CC586F}"/>
                </a:ext>
              </a:extLst>
            </xdr:cNvPr>
            <xdr:cNvSpPr txBox="1"/>
          </xdr:nvSpPr>
          <xdr:spPr>
            <a:xfrm>
              <a:off x="3695700" y="539115"/>
              <a:ext cx="1276823"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latin typeface="Cambria Math" panose="02040503050406030204" pitchFamily="18" charset="0"/>
                </a:rPr>
                <a:t>𝐸_(𝑎,𝑖)</a:t>
              </a: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𝑃_(𝑎,𝑖)</a:t>
              </a: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𝐴_𝑖</a:t>
              </a: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𝐸𝐹</a:t>
              </a:r>
              <a:endParaRPr lang="en-US" sz="1100"/>
            </a:p>
          </xdr:txBody>
        </xdr:sp>
      </mc:Fallback>
    </mc:AlternateContent>
    <xdr:clientData/>
  </xdr:oneCellAnchor>
  <xdr:oneCellAnchor>
    <xdr:from>
      <xdr:col>5</xdr:col>
      <xdr:colOff>0</xdr:colOff>
      <xdr:row>2</xdr:row>
      <xdr:rowOff>179070</xdr:rowOff>
    </xdr:from>
    <xdr:ext cx="1271951" cy="176972"/>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453AE4D1-E243-4687-BB8E-9F8877FE3739}"/>
                </a:ext>
              </a:extLst>
            </xdr:cNvPr>
            <xdr:cNvSpPr txBox="1"/>
          </xdr:nvSpPr>
          <xdr:spPr>
            <a:xfrm>
              <a:off x="5943600" y="539115"/>
              <a:ext cx="1271951"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𝐸</m:t>
                        </m:r>
                      </m:e>
                      <m:sub>
                        <m:r>
                          <a:rPr lang="en-US" sz="1100" b="0" i="1">
                            <a:latin typeface="Cambria Math" panose="02040503050406030204" pitchFamily="18" charset="0"/>
                          </a:rPr>
                          <m:t>𝑏</m:t>
                        </m:r>
                        <m:r>
                          <a:rPr lang="en-US" sz="1100" b="0" i="1">
                            <a:latin typeface="Cambria Math" panose="02040503050406030204" pitchFamily="18" charset="0"/>
                          </a:rPr>
                          <m:t>,</m:t>
                        </m:r>
                        <m:r>
                          <a:rPr lang="en-US" sz="1100" b="0" i="1">
                            <a:latin typeface="Cambria Math" panose="02040503050406030204" pitchFamily="18" charset="0"/>
                          </a:rPr>
                          <m:t>𝑖</m:t>
                        </m:r>
                      </m:sub>
                    </m:sSub>
                    <m:r>
                      <a:rPr lang="en-US" sz="1100" i="1">
                        <a:latin typeface="Cambria Math" panose="02040503050406030204" pitchFamily="18" charset="0"/>
                        <a:ea typeface="Cambria Math" panose="02040503050406030204" pitchFamily="18" charset="0"/>
                      </a:rPr>
                      <m:t>=</m:t>
                    </m:r>
                    <m:sSub>
                      <m:sSubPr>
                        <m:ctrlPr>
                          <a:rPr lang="en-US" sz="110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𝑃</m:t>
                        </m:r>
                      </m:e>
                      <m:sub>
                        <m:r>
                          <a:rPr lang="en-US" sz="1100" b="0" i="1">
                            <a:latin typeface="Cambria Math" panose="02040503050406030204" pitchFamily="18" charset="0"/>
                            <a:ea typeface="Cambria Math" panose="02040503050406030204" pitchFamily="18" charset="0"/>
                          </a:rPr>
                          <m:t>𝑏</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𝑖</m:t>
                        </m:r>
                      </m:sub>
                    </m:sSub>
                    <m:r>
                      <a:rPr lang="en-US" sz="1100" i="1">
                        <a:latin typeface="Cambria Math" panose="02040503050406030204" pitchFamily="18" charset="0"/>
                        <a:ea typeface="Cambria Math" panose="02040503050406030204" pitchFamily="18" charset="0"/>
                      </a:rPr>
                      <m:t>×</m:t>
                    </m:r>
                    <m:sSub>
                      <m:sSubPr>
                        <m:ctrlPr>
                          <a:rPr lang="en-US" sz="110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𝐴</m:t>
                        </m:r>
                      </m:e>
                      <m:sub>
                        <m:r>
                          <a:rPr lang="en-US" sz="1100" b="0" i="1">
                            <a:latin typeface="Cambria Math" panose="02040503050406030204" pitchFamily="18" charset="0"/>
                            <a:ea typeface="Cambria Math" panose="02040503050406030204" pitchFamily="18" charset="0"/>
                          </a:rPr>
                          <m:t>𝑖</m:t>
                        </m:r>
                      </m:sub>
                    </m:sSub>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𝐸𝐹</m:t>
                    </m:r>
                  </m:oMath>
                </m:oMathPara>
              </a14:m>
              <a:endParaRPr lang="en-US" sz="1100"/>
            </a:p>
          </xdr:txBody>
        </xdr:sp>
      </mc:Choice>
      <mc:Fallback xmlns="">
        <xdr:sp macro="" textlink="">
          <xdr:nvSpPr>
            <xdr:cNvPr id="4" name="TextBox 3">
              <a:extLst>
                <a:ext uri="{FF2B5EF4-FFF2-40B4-BE49-F238E27FC236}">
                  <a16:creationId xmlns:a16="http://schemas.microsoft.com/office/drawing/2014/main" id="{453AE4D1-E243-4687-BB8E-9F8877FE3739}"/>
                </a:ext>
              </a:extLst>
            </xdr:cNvPr>
            <xdr:cNvSpPr txBox="1"/>
          </xdr:nvSpPr>
          <xdr:spPr>
            <a:xfrm>
              <a:off x="5943600" y="539115"/>
              <a:ext cx="1271951"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latin typeface="Cambria Math" panose="02040503050406030204" pitchFamily="18" charset="0"/>
                </a:rPr>
                <a:t>𝐸_(𝑏,𝑖)</a:t>
              </a: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𝑃_(𝑏,𝑖)</a:t>
              </a: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𝐴_𝑖</a:t>
              </a: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𝐸𝐹</a:t>
              </a:r>
              <a:endParaRPr lang="en-US" sz="1100"/>
            </a:p>
          </xdr:txBody>
        </xdr:sp>
      </mc:Fallback>
    </mc:AlternateContent>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file:///C:\Temp\Temp2_PAMTConnector%20Bridge%20-%202023%20RAISE%20Submission20230227091417.zip\BCA%20Model%20-%20Update.xlsx" TargetMode="External"/><Relationship Id="rId1" Type="http://schemas.openxmlformats.org/officeDocument/2006/relationships/hyperlink" Target="https://www.transportation.gov/sites/dot.gov/files/2023-01/Benefit%20Cost%20Analysis%20Guidance%202023%20Update.pdf"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8.bin"/><Relationship Id="rId1" Type="http://schemas.openxmlformats.org/officeDocument/2006/relationships/hyperlink" Target="https://www.epi.org/publication/updated-employment-multipliers-for-the-u-s-economy/"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crashstats.nhtsa.dot.gov/Api/Public/ViewPublication/813369" TargetMode="External"/><Relationship Id="rId2" Type="http://schemas.openxmlformats.org/officeDocument/2006/relationships/hyperlink" Target="https://crashstats.nhtsa.dot.gov/Api/Public/ViewPublication/813376" TargetMode="External"/><Relationship Id="rId1" Type="http://schemas.openxmlformats.org/officeDocument/2006/relationships/hyperlink" Target="https://cdan.nhtsa.gov/tsftables/National%20Statistics.pdf" TargetMode="External"/><Relationship Id="rId4" Type="http://schemas.openxmlformats.org/officeDocument/2006/relationships/drawing" Target="../drawings/drawing4.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cbo.gov/system/files/2019-10/55688-CBO-VMT-Tax.pdf"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file:///C:\Users\rode15517\Downloads\Benefit%20Cost%20Analysis%20Guidance%202023%20Update.pdf" TargetMode="Externa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50C152-8EF4-48F2-97FE-98AEF1BCD6FA}">
  <dimension ref="A2:D35"/>
  <sheetViews>
    <sheetView showGridLines="0" workbookViewId="0">
      <selection activeCell="L9" sqref="L9"/>
    </sheetView>
  </sheetViews>
  <sheetFormatPr defaultRowHeight="15" x14ac:dyDescent="0.25"/>
  <cols>
    <col min="1" max="1" width="4.7109375" style="3" customWidth="1"/>
    <col min="2" max="2" width="32.28515625" customWidth="1"/>
    <col min="3" max="3" width="55.7109375" customWidth="1"/>
    <col min="4" max="4" width="65.5703125" customWidth="1"/>
  </cols>
  <sheetData>
    <row r="2" spans="1:4" ht="15.75" x14ac:dyDescent="0.25">
      <c r="B2" s="185" t="s">
        <v>0</v>
      </c>
    </row>
    <row r="3" spans="1:4" x14ac:dyDescent="0.25">
      <c r="B3" t="s">
        <v>1</v>
      </c>
    </row>
    <row r="4" spans="1:4" x14ac:dyDescent="0.25">
      <c r="B4" t="s">
        <v>2</v>
      </c>
    </row>
    <row r="5" spans="1:4" x14ac:dyDescent="0.25">
      <c r="B5" t="s">
        <v>3</v>
      </c>
    </row>
    <row r="7" spans="1:4" x14ac:dyDescent="0.25">
      <c r="B7" t="s">
        <v>4</v>
      </c>
    </row>
    <row r="9" spans="1:4" s="189" customFormat="1" x14ac:dyDescent="0.25">
      <c r="A9" s="187"/>
      <c r="B9" s="188" t="s">
        <v>5</v>
      </c>
      <c r="C9" s="188" t="s">
        <v>6</v>
      </c>
      <c r="D9" s="188" t="s">
        <v>7</v>
      </c>
    </row>
    <row r="10" spans="1:4" s="170" customFormat="1" ht="30" x14ac:dyDescent="0.25">
      <c r="A10" s="190">
        <v>1</v>
      </c>
      <c r="B10" s="191" t="s">
        <v>8</v>
      </c>
      <c r="C10" s="186" t="s">
        <v>9</v>
      </c>
      <c r="D10" s="186" t="s">
        <v>10</v>
      </c>
    </row>
    <row r="11" spans="1:4" s="170" customFormat="1" ht="45" x14ac:dyDescent="0.25">
      <c r="A11" s="190">
        <v>2</v>
      </c>
      <c r="B11" s="191" t="s">
        <v>11</v>
      </c>
      <c r="C11" s="186" t="s">
        <v>12</v>
      </c>
      <c r="D11" s="186" t="s">
        <v>13</v>
      </c>
    </row>
    <row r="12" spans="1:4" s="170" customFormat="1" ht="30" x14ac:dyDescent="0.25">
      <c r="A12" s="190">
        <v>3</v>
      </c>
      <c r="B12" s="191" t="s">
        <v>14</v>
      </c>
      <c r="C12" s="186" t="s">
        <v>15</v>
      </c>
      <c r="D12" s="186" t="s">
        <v>16</v>
      </c>
    </row>
    <row r="13" spans="1:4" s="170" customFormat="1" ht="45" x14ac:dyDescent="0.25">
      <c r="A13" s="190">
        <v>4</v>
      </c>
      <c r="B13" s="191" t="s">
        <v>17</v>
      </c>
      <c r="C13" s="186" t="s">
        <v>18</v>
      </c>
      <c r="D13" s="186" t="s">
        <v>19</v>
      </c>
    </row>
    <row r="14" spans="1:4" s="170" customFormat="1" x14ac:dyDescent="0.25">
      <c r="A14" s="190">
        <v>5</v>
      </c>
      <c r="B14" s="191" t="s">
        <v>20</v>
      </c>
      <c r="C14" s="192" t="s">
        <v>21</v>
      </c>
      <c r="D14" s="186" t="s">
        <v>22</v>
      </c>
    </row>
    <row r="15" spans="1:4" s="170" customFormat="1" x14ac:dyDescent="0.25">
      <c r="A15" s="190"/>
      <c r="B15" s="191" t="s">
        <v>23</v>
      </c>
      <c r="C15" s="192"/>
      <c r="D15" s="186"/>
    </row>
    <row r="16" spans="1:4" s="170" customFormat="1" ht="30" x14ac:dyDescent="0.25">
      <c r="A16" s="190">
        <v>6</v>
      </c>
      <c r="B16" s="191" t="s">
        <v>24</v>
      </c>
      <c r="C16" s="186" t="s">
        <v>25</v>
      </c>
      <c r="D16" s="193" t="s">
        <v>26</v>
      </c>
    </row>
    <row r="17" spans="1:4" s="170" customFormat="1" ht="60" x14ac:dyDescent="0.25">
      <c r="A17" s="190">
        <v>7</v>
      </c>
      <c r="B17" s="191" t="s">
        <v>27</v>
      </c>
      <c r="C17" s="186" t="s">
        <v>28</v>
      </c>
      <c r="D17" s="192" t="s">
        <v>29</v>
      </c>
    </row>
    <row r="18" spans="1:4" s="170" customFormat="1" ht="30" x14ac:dyDescent="0.25">
      <c r="A18" s="190">
        <v>8</v>
      </c>
      <c r="B18" s="191" t="s">
        <v>30</v>
      </c>
      <c r="C18" s="186" t="s">
        <v>31</v>
      </c>
      <c r="D18" s="186" t="s">
        <v>32</v>
      </c>
    </row>
    <row r="19" spans="1:4" s="170" customFormat="1" ht="60" x14ac:dyDescent="0.25">
      <c r="A19" s="190">
        <v>9</v>
      </c>
      <c r="B19" s="191" t="s">
        <v>33</v>
      </c>
      <c r="C19" s="186" t="s">
        <v>34</v>
      </c>
      <c r="D19" s="186" t="s">
        <v>35</v>
      </c>
    </row>
    <row r="20" spans="1:4" s="170" customFormat="1" ht="30" x14ac:dyDescent="0.25">
      <c r="A20" s="190">
        <v>10</v>
      </c>
      <c r="B20" s="191" t="s">
        <v>36</v>
      </c>
      <c r="C20" s="186" t="s">
        <v>37</v>
      </c>
      <c r="D20" s="194" t="s">
        <v>38</v>
      </c>
    </row>
    <row r="21" spans="1:4" s="170" customFormat="1" x14ac:dyDescent="0.25">
      <c r="A21" s="190">
        <v>11</v>
      </c>
      <c r="B21" s="191" t="s">
        <v>39</v>
      </c>
      <c r="C21" s="186" t="s">
        <v>40</v>
      </c>
      <c r="D21" s="194" t="s">
        <v>41</v>
      </c>
    </row>
    <row r="22" spans="1:4" s="170" customFormat="1" ht="30" x14ac:dyDescent="0.25">
      <c r="A22" s="190">
        <v>12</v>
      </c>
      <c r="B22" s="191" t="s">
        <v>42</v>
      </c>
      <c r="C22" s="186" t="s">
        <v>43</v>
      </c>
      <c r="D22" s="194" t="s">
        <v>44</v>
      </c>
    </row>
    <row r="23" spans="1:4" s="170" customFormat="1" x14ac:dyDescent="0.25">
      <c r="A23" s="190">
        <v>13</v>
      </c>
      <c r="B23" s="191" t="s">
        <v>45</v>
      </c>
      <c r="C23" s="186"/>
      <c r="D23" s="186"/>
    </row>
    <row r="24" spans="1:4" s="170" customFormat="1" ht="30" x14ac:dyDescent="0.25">
      <c r="A24" s="190">
        <v>14</v>
      </c>
      <c r="B24" s="191" t="s">
        <v>46</v>
      </c>
      <c r="C24" s="186" t="s">
        <v>47</v>
      </c>
      <c r="D24" s="186" t="s">
        <v>48</v>
      </c>
    </row>
    <row r="25" spans="1:4" s="170" customFormat="1" ht="45" x14ac:dyDescent="0.25">
      <c r="A25" s="190">
        <v>15</v>
      </c>
      <c r="B25" s="191" t="s">
        <v>49</v>
      </c>
      <c r="C25" s="192" t="s">
        <v>50</v>
      </c>
      <c r="D25" s="186" t="s">
        <v>51</v>
      </c>
    </row>
    <row r="26" spans="1:4" s="170" customFormat="1" x14ac:dyDescent="0.25">
      <c r="A26" s="190">
        <v>16</v>
      </c>
      <c r="B26" s="191" t="s">
        <v>52</v>
      </c>
      <c r="C26" s="192" t="s">
        <v>53</v>
      </c>
      <c r="D26" s="186" t="s">
        <v>54</v>
      </c>
    </row>
    <row r="27" spans="1:4" x14ac:dyDescent="0.25">
      <c r="C27" s="6"/>
      <c r="D27" s="6"/>
    </row>
    <row r="28" spans="1:4" x14ac:dyDescent="0.25">
      <c r="C28" s="6"/>
      <c r="D28" s="6"/>
    </row>
    <row r="29" spans="1:4" x14ac:dyDescent="0.25">
      <c r="C29" s="6"/>
      <c r="D29" s="6"/>
    </row>
    <row r="30" spans="1:4" x14ac:dyDescent="0.25">
      <c r="C30" s="6"/>
      <c r="D30" s="6"/>
    </row>
    <row r="31" spans="1:4" x14ac:dyDescent="0.25">
      <c r="C31" s="6"/>
      <c r="D31" s="6"/>
    </row>
    <row r="32" spans="1:4" x14ac:dyDescent="0.25">
      <c r="C32" s="6"/>
      <c r="D32" s="6"/>
    </row>
    <row r="33" spans="3:4" x14ac:dyDescent="0.25">
      <c r="C33" s="6"/>
      <c r="D33" s="6"/>
    </row>
    <row r="34" spans="3:4" x14ac:dyDescent="0.25">
      <c r="C34" s="6"/>
      <c r="D34" s="6"/>
    </row>
    <row r="35" spans="3:4" x14ac:dyDescent="0.25">
      <c r="C35" s="6"/>
      <c r="D35" s="6"/>
    </row>
  </sheetData>
  <hyperlinks>
    <hyperlink ref="B10" location="'Summary Tables'!A1" display="Summary Tables" xr:uid="{B8B96830-B155-40DB-A36B-49F5E209F4A2}"/>
    <hyperlink ref="B11" location="'30yr Horizon_noshipping'!A1" display="30yr Horizion_noshipping" xr:uid="{A24137A9-B6EE-4C8B-B7FC-643A910B0B19}"/>
    <hyperlink ref="B12" location="'Traffic_Reduced port VMT'!A1" display="Traffic_Reduced port VMT " xr:uid="{15DF5576-5C61-4352-B5D5-B8316BB114B2}"/>
    <hyperlink ref="B13" location="'Traffic_Reduced highway VMT'!A1" display="Traffic_Reduced highway VMT " xr:uid="{E571B3C3-2234-4315-9BF4-15A5167FF8C8}"/>
    <hyperlink ref="B14" location="'Air Quality'!A1" display="Air Quality " xr:uid="{D1C20C3D-26E1-4030-83FC-A8F79D84D402}"/>
    <hyperlink ref="B15" location="'References&gt;'!A1" display="References&gt;" xr:uid="{10047678-0971-4F6F-ACE6-DC546A6636C8}"/>
    <hyperlink ref="B16" location="'BCA Values'!A1" display="BCA Values" xr:uid="{750AAC64-7061-40A0-8DCF-656D0EE9D9C4}"/>
    <hyperlink ref="B17" location="'Project Information'!A1" display="Project Information" xr:uid="{713338A4-660E-469F-AB17-4606072309A7}"/>
    <hyperlink ref="B18" location="'Updated Project Costs'!A1" display="Updated Project Costs" xr:uid="{EEA24F0D-FDE5-4DC1-BCD3-B9109A8FB856}"/>
    <hyperlink ref="B19" location="'Crash stats'!A1" display="Crash stats" xr:uid="{38E49DBF-BDC1-475D-A027-0F7E4D82A626}"/>
    <hyperlink ref="B26" location="Raise22_capturevolumes!A1" display="Raise22_capturevolumes" xr:uid="{92985378-F329-4B57-B602-D0B1B083FAF6}"/>
    <hyperlink ref="B20" location="'project benefits_PAMT_pubbridge'!A1" display="project benefits_PAMT_pubbridge" xr:uid="{299B4458-E580-4265-ABED-42AC3E88B79B}"/>
    <hyperlink ref="B23" location="'Archived&gt;'!A1" display="Archived&gt;" xr:uid="{26965798-956D-4204-916E-12A038D2FAA4}"/>
    <hyperlink ref="B24" location="'30yr Horizon_shipping'!A1" display="30yr Horizion_shipping" xr:uid="{40148B51-3D1E-4260-9B46-B4D0D50C7963}"/>
    <hyperlink ref="B25" location="'Project Costs'!A1" display="Project Costs" xr:uid="{AEED655C-C464-40C2-89C0-2E589F71CE8A}"/>
    <hyperlink ref="D16" r:id="rId1" display="Benefit Cost Analysis Guidance 2023 Update.pdf (transportation.gov)" xr:uid="{CBE59A9C-942E-4E27-98C1-DB85FBD5B09F}"/>
    <hyperlink ref="B22" r:id="rId2" xr:uid="{20762D0B-B765-4F3D-A8A8-FB90C18B1362}"/>
  </hyperlinks>
  <pageMargins left="0.7" right="0.7" top="0.75" bottom="0.75" header="0.3" footer="0.3"/>
  <pageSetup orientation="portrait" horizontalDpi="1200" verticalDpi="1200"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4C726-9A9C-4F3C-AAD3-124F7885516D}">
  <sheetPr>
    <tabColor rgb="FF7030A0"/>
  </sheetPr>
  <dimension ref="A1:AE63"/>
  <sheetViews>
    <sheetView topLeftCell="B1" workbookViewId="0">
      <selection activeCell="Q11" sqref="Q11"/>
    </sheetView>
  </sheetViews>
  <sheetFormatPr defaultRowHeight="15" x14ac:dyDescent="0.25"/>
  <cols>
    <col min="1" max="1" width="29.28515625" customWidth="1"/>
    <col min="2" max="4" width="14.28515625" customWidth="1"/>
    <col min="5" max="5" width="13" customWidth="1"/>
    <col min="6" max="6" width="12.7109375" customWidth="1"/>
    <col min="9" max="9" width="11.7109375" customWidth="1"/>
    <col min="12" max="12" width="13.28515625" customWidth="1"/>
    <col min="14" max="14" width="15.7109375" bestFit="1" customWidth="1"/>
    <col min="15" max="15" width="20.7109375" customWidth="1"/>
    <col min="16" max="16" width="14.28515625" customWidth="1"/>
  </cols>
  <sheetData>
    <row r="1" spans="1:21" x14ac:dyDescent="0.25">
      <c r="N1" s="25" t="s">
        <v>283</v>
      </c>
      <c r="O1" s="25"/>
      <c r="P1" s="25"/>
      <c r="Q1" s="25"/>
      <c r="R1" s="25"/>
      <c r="S1" s="25"/>
    </row>
    <row r="2" spans="1:21" x14ac:dyDescent="0.25">
      <c r="A2" s="25" t="s">
        <v>284</v>
      </c>
      <c r="B2" s="25"/>
      <c r="C2" s="25"/>
      <c r="D2" s="25"/>
      <c r="N2" s="25" t="s">
        <v>285</v>
      </c>
      <c r="O2" s="25">
        <v>108</v>
      </c>
      <c r="P2" s="25"/>
      <c r="Q2" s="25"/>
      <c r="R2" s="25"/>
      <c r="S2" s="25"/>
    </row>
    <row r="3" spans="1:21" x14ac:dyDescent="0.25">
      <c r="A3" s="25" t="s">
        <v>286</v>
      </c>
      <c r="B3" s="25" t="s">
        <v>287</v>
      </c>
      <c r="C3" s="25" t="s">
        <v>288</v>
      </c>
      <c r="D3" s="25"/>
      <c r="N3" s="25"/>
      <c r="O3" s="25"/>
      <c r="P3" s="25"/>
      <c r="Q3" s="25"/>
      <c r="R3" s="25"/>
      <c r="S3" s="25"/>
    </row>
    <row r="4" spans="1:21" x14ac:dyDescent="0.25">
      <c r="A4" s="25"/>
      <c r="B4" s="25"/>
      <c r="C4" s="25" t="s">
        <v>289</v>
      </c>
      <c r="D4" s="25" t="s">
        <v>290</v>
      </c>
      <c r="E4" s="81"/>
      <c r="N4" s="25"/>
      <c r="O4" s="25"/>
      <c r="P4" s="25"/>
      <c r="Q4" s="25"/>
      <c r="R4" s="25"/>
      <c r="S4" s="25"/>
    </row>
    <row r="5" spans="1:21" x14ac:dyDescent="0.25">
      <c r="A5" s="25" t="s">
        <v>291</v>
      </c>
      <c r="B5" s="25"/>
      <c r="C5" s="25"/>
      <c r="D5" s="25"/>
      <c r="N5" s="25"/>
      <c r="O5" s="25"/>
      <c r="P5" s="25"/>
      <c r="Q5" s="25"/>
      <c r="R5" s="25"/>
      <c r="S5" s="25"/>
    </row>
    <row r="6" spans="1:21" x14ac:dyDescent="0.25">
      <c r="A6" s="25"/>
      <c r="B6" s="26">
        <v>2054700</v>
      </c>
      <c r="C6" s="26">
        <v>2054700</v>
      </c>
      <c r="D6" s="25"/>
      <c r="N6" s="25"/>
      <c r="O6" s="25"/>
      <c r="P6" s="25"/>
      <c r="Q6" s="25"/>
      <c r="R6" s="25"/>
      <c r="S6" s="25"/>
    </row>
    <row r="7" spans="1:21" x14ac:dyDescent="0.25">
      <c r="A7" s="25" t="s">
        <v>292</v>
      </c>
      <c r="B7" s="25"/>
      <c r="C7" s="25"/>
      <c r="D7" s="25"/>
      <c r="N7" s="25"/>
      <c r="O7" s="25"/>
      <c r="P7" s="25"/>
      <c r="Q7" s="25"/>
      <c r="R7" s="25"/>
      <c r="S7" s="25"/>
    </row>
    <row r="8" spans="1:21" x14ac:dyDescent="0.25">
      <c r="A8" s="25"/>
      <c r="B8" s="26">
        <v>14529631</v>
      </c>
      <c r="C8" s="26">
        <v>9529631</v>
      </c>
      <c r="D8" s="166">
        <v>5000000</v>
      </c>
      <c r="G8" s="16"/>
      <c r="H8" s="16"/>
      <c r="J8" s="16"/>
      <c r="K8" s="16"/>
      <c r="L8" s="16"/>
      <c r="N8" s="25"/>
      <c r="O8" s="102"/>
      <c r="P8" s="25"/>
      <c r="Q8" s="25"/>
      <c r="R8" s="25"/>
      <c r="S8" s="25"/>
    </row>
    <row r="9" spans="1:21" x14ac:dyDescent="0.25">
      <c r="A9" s="25" t="s">
        <v>293</v>
      </c>
      <c r="B9" s="26">
        <v>2009839</v>
      </c>
      <c r="C9" s="26">
        <v>2009839</v>
      </c>
      <c r="D9" s="25"/>
      <c r="H9" s="16"/>
      <c r="J9" s="16"/>
      <c r="L9" s="16"/>
      <c r="N9" s="25"/>
      <c r="O9" s="25"/>
      <c r="P9" s="25"/>
      <c r="Q9" s="25"/>
      <c r="R9" s="25"/>
      <c r="S9" s="25"/>
    </row>
    <row r="10" spans="1:21" x14ac:dyDescent="0.25">
      <c r="A10" s="25" t="s">
        <v>294</v>
      </c>
      <c r="B10" s="26">
        <v>18594170</v>
      </c>
      <c r="C10" s="26">
        <v>13594170</v>
      </c>
      <c r="D10" s="26">
        <v>5000000</v>
      </c>
      <c r="L10" s="16"/>
      <c r="N10" s="25"/>
      <c r="O10" s="25"/>
      <c r="P10" s="25"/>
      <c r="Q10" s="206"/>
      <c r="R10" s="206"/>
      <c r="S10" s="206"/>
    </row>
    <row r="11" spans="1:21" x14ac:dyDescent="0.25">
      <c r="A11" s="25" t="s">
        <v>295</v>
      </c>
      <c r="B11" s="167">
        <v>1</v>
      </c>
      <c r="C11" s="168">
        <v>0.73099999999999998</v>
      </c>
      <c r="D11" s="168">
        <v>0.26900000000000002</v>
      </c>
      <c r="H11" s="16"/>
    </row>
    <row r="13" spans="1:21" x14ac:dyDescent="0.25">
      <c r="A13" s="147" t="s">
        <v>299</v>
      </c>
      <c r="B13" s="56">
        <v>21695041</v>
      </c>
    </row>
    <row r="14" spans="1:21" x14ac:dyDescent="0.25">
      <c r="A14" s="147" t="s">
        <v>301</v>
      </c>
      <c r="B14" s="53">
        <f>B13/B15</f>
        <v>19991744.378916331</v>
      </c>
      <c r="D14" t="s">
        <v>302</v>
      </c>
      <c r="E14">
        <v>188889</v>
      </c>
      <c r="G14" s="16"/>
      <c r="H14" s="16"/>
      <c r="I14" s="16"/>
    </row>
    <row r="15" spans="1:21" x14ac:dyDescent="0.25">
      <c r="A15" t="s">
        <v>303</v>
      </c>
      <c r="B15" s="202">
        <v>1.0851999999999999</v>
      </c>
      <c r="D15" t="s">
        <v>304</v>
      </c>
      <c r="E15" s="13">
        <f>E14/B15</f>
        <v>174059.1596019167</v>
      </c>
      <c r="G15" s="16"/>
      <c r="H15" s="16"/>
    </row>
    <row r="16" spans="1:21" x14ac:dyDescent="0.25">
      <c r="G16" s="16"/>
      <c r="H16" s="16"/>
      <c r="I16" s="16"/>
      <c r="T16" s="12"/>
      <c r="U16" s="12"/>
    </row>
    <row r="17" spans="1:31" x14ac:dyDescent="0.25">
      <c r="G17" s="16"/>
    </row>
    <row r="19" spans="1:31" x14ac:dyDescent="0.25">
      <c r="G19" s="16"/>
    </row>
    <row r="20" spans="1:31" x14ac:dyDescent="0.25">
      <c r="B20">
        <v>0</v>
      </c>
      <c r="C20">
        <v>0</v>
      </c>
      <c r="D20">
        <v>0.2</v>
      </c>
      <c r="E20">
        <v>0.4</v>
      </c>
      <c r="F20">
        <v>0.4</v>
      </c>
    </row>
    <row r="21" spans="1:31" x14ac:dyDescent="0.25">
      <c r="A21" t="s">
        <v>306</v>
      </c>
      <c r="B21">
        <v>2022</v>
      </c>
      <c r="C21">
        <v>2023</v>
      </c>
      <c r="D21">
        <v>2024</v>
      </c>
      <c r="E21">
        <v>2025</v>
      </c>
      <c r="F21">
        <v>2026</v>
      </c>
      <c r="G21">
        <v>2027</v>
      </c>
    </row>
    <row r="22" spans="1:31" x14ac:dyDescent="0.25">
      <c r="A22" t="s">
        <v>307</v>
      </c>
      <c r="B22" s="16">
        <f>$B$14*B20</f>
        <v>0</v>
      </c>
      <c r="C22" s="16">
        <f t="shared" ref="C22:G22" si="0">$B$14*C20</f>
        <v>0</v>
      </c>
      <c r="D22" s="16">
        <f t="shared" si="0"/>
        <v>3998348.8757832665</v>
      </c>
      <c r="E22" s="16">
        <f t="shared" si="0"/>
        <v>7996697.751566533</v>
      </c>
      <c r="F22" s="16">
        <f t="shared" si="0"/>
        <v>7996697.751566533</v>
      </c>
      <c r="G22" s="16">
        <f t="shared" si="0"/>
        <v>0</v>
      </c>
    </row>
    <row r="23" spans="1:31" x14ac:dyDescent="0.25">
      <c r="A23" s="25" t="s">
        <v>308</v>
      </c>
      <c r="B23" s="167">
        <v>0.15</v>
      </c>
      <c r="C23" s="167">
        <v>0.15</v>
      </c>
      <c r="D23" s="167">
        <v>0.15</v>
      </c>
      <c r="E23" s="167">
        <v>0.15</v>
      </c>
      <c r="F23" s="167">
        <v>0.15</v>
      </c>
      <c r="G23" s="25">
        <v>0.15</v>
      </c>
    </row>
    <row r="24" spans="1:31" x14ac:dyDescent="0.25">
      <c r="A24" s="25" t="s">
        <v>309</v>
      </c>
      <c r="B24" s="26">
        <f>B22*(1-B23)</f>
        <v>0</v>
      </c>
      <c r="C24" s="26">
        <f>C22*(1-C23)</f>
        <v>0</v>
      </c>
      <c r="D24" s="26">
        <f t="shared" ref="D24:G24" si="1">D22*(1-D23)</f>
        <v>3398596.5444157766</v>
      </c>
      <c r="E24" s="26">
        <f t="shared" si="1"/>
        <v>6797193.0888315532</v>
      </c>
      <c r="F24" s="26">
        <f t="shared" si="1"/>
        <v>6797193.0888315532</v>
      </c>
      <c r="G24" s="26">
        <f t="shared" si="1"/>
        <v>0</v>
      </c>
    </row>
    <row r="26" spans="1:31" x14ac:dyDescent="0.25">
      <c r="A26" t="s">
        <v>310</v>
      </c>
    </row>
    <row r="29" spans="1:31" x14ac:dyDescent="0.25">
      <c r="A29" t="s">
        <v>311</v>
      </c>
      <c r="B29" s="81">
        <v>44999</v>
      </c>
    </row>
    <row r="30" spans="1:31" x14ac:dyDescent="0.25">
      <c r="A30" t="s">
        <v>312</v>
      </c>
      <c r="B30" s="81">
        <v>45863</v>
      </c>
    </row>
    <row r="31" spans="1:31" x14ac:dyDescent="0.25">
      <c r="C31">
        <v>23</v>
      </c>
      <c r="D31">
        <v>23</v>
      </c>
      <c r="E31">
        <v>23</v>
      </c>
      <c r="F31">
        <v>23</v>
      </c>
      <c r="G31">
        <v>23</v>
      </c>
      <c r="H31">
        <v>23</v>
      </c>
      <c r="I31">
        <v>23</v>
      </c>
      <c r="J31">
        <v>23</v>
      </c>
      <c r="K31">
        <v>23</v>
      </c>
      <c r="L31">
        <v>23</v>
      </c>
      <c r="M31">
        <v>24</v>
      </c>
      <c r="N31">
        <v>24</v>
      </c>
      <c r="O31">
        <v>24</v>
      </c>
      <c r="P31">
        <v>24</v>
      </c>
      <c r="Q31">
        <v>24</v>
      </c>
      <c r="R31">
        <v>24</v>
      </c>
      <c r="S31">
        <v>24</v>
      </c>
      <c r="T31">
        <v>24</v>
      </c>
      <c r="U31">
        <v>24</v>
      </c>
      <c r="V31">
        <v>24</v>
      </c>
      <c r="W31">
        <v>24</v>
      </c>
      <c r="X31">
        <v>24</v>
      </c>
      <c r="Y31">
        <v>25</v>
      </c>
      <c r="Z31">
        <v>25</v>
      </c>
      <c r="AA31">
        <v>25</v>
      </c>
      <c r="AB31">
        <v>25</v>
      </c>
      <c r="AC31">
        <v>25</v>
      </c>
      <c r="AD31">
        <v>25</v>
      </c>
      <c r="AE31">
        <v>25</v>
      </c>
    </row>
    <row r="32" spans="1:31" x14ac:dyDescent="0.25">
      <c r="C32" s="83">
        <v>44986</v>
      </c>
      <c r="D32" s="83">
        <v>45017</v>
      </c>
      <c r="E32" s="83">
        <v>45047</v>
      </c>
      <c r="F32" s="83">
        <v>45078</v>
      </c>
      <c r="G32" s="83">
        <v>45108</v>
      </c>
      <c r="H32" s="83">
        <v>45139</v>
      </c>
      <c r="I32" s="83">
        <v>45170</v>
      </c>
      <c r="J32" s="83">
        <v>45200</v>
      </c>
      <c r="K32" s="83">
        <v>45231</v>
      </c>
      <c r="L32" s="83">
        <v>45261</v>
      </c>
      <c r="M32" s="83">
        <v>45292</v>
      </c>
      <c r="N32" s="83">
        <v>45323</v>
      </c>
      <c r="O32" s="83">
        <v>45352</v>
      </c>
      <c r="P32" s="83">
        <v>45383</v>
      </c>
      <c r="Q32" s="83">
        <v>45413</v>
      </c>
      <c r="R32" s="83">
        <v>45444</v>
      </c>
      <c r="S32" s="83">
        <v>45474</v>
      </c>
      <c r="T32" s="83">
        <v>45505</v>
      </c>
      <c r="U32" s="83">
        <v>45536</v>
      </c>
      <c r="V32" s="83">
        <v>45566</v>
      </c>
      <c r="W32" s="83">
        <v>45597</v>
      </c>
      <c r="X32" s="83">
        <v>45627</v>
      </c>
      <c r="Y32" s="83">
        <v>45658</v>
      </c>
      <c r="Z32" s="83">
        <v>45689</v>
      </c>
      <c r="AA32" s="83">
        <v>45717</v>
      </c>
      <c r="AB32" s="83">
        <v>45748</v>
      </c>
      <c r="AC32" s="83">
        <v>45778</v>
      </c>
      <c r="AD32" s="83">
        <v>45809</v>
      </c>
      <c r="AE32" s="83">
        <v>45839</v>
      </c>
    </row>
    <row r="34" spans="1:9" x14ac:dyDescent="0.25">
      <c r="A34">
        <v>23</v>
      </c>
      <c r="B34">
        <f>COUNTIF($C$31:$AE$31,A34)</f>
        <v>10</v>
      </c>
      <c r="C34">
        <f>B34/B37</f>
        <v>0.34482758620689657</v>
      </c>
    </row>
    <row r="35" spans="1:9" x14ac:dyDescent="0.25">
      <c r="A35">
        <v>24</v>
      </c>
      <c r="B35">
        <f t="shared" ref="B35:B36" si="2">COUNTIF($C$31:$AE$31,A35)</f>
        <v>12</v>
      </c>
      <c r="C35">
        <f>B35/B37</f>
        <v>0.41379310344827586</v>
      </c>
    </row>
    <row r="36" spans="1:9" x14ac:dyDescent="0.25">
      <c r="A36">
        <v>25</v>
      </c>
      <c r="B36">
        <f t="shared" si="2"/>
        <v>7</v>
      </c>
      <c r="C36">
        <f>B36/B37</f>
        <v>0.2413793103448276</v>
      </c>
    </row>
    <row r="37" spans="1:9" x14ac:dyDescent="0.25">
      <c r="B37">
        <f>SUM(B34:B36)</f>
        <v>29</v>
      </c>
    </row>
    <row r="39" spans="1:9" x14ac:dyDescent="0.25">
      <c r="A39" t="s">
        <v>313</v>
      </c>
      <c r="B39" s="82">
        <v>5.0000000000000001E-3</v>
      </c>
      <c r="C39" t="s">
        <v>314</v>
      </c>
    </row>
    <row r="44" spans="1:9" x14ac:dyDescent="0.25">
      <c r="A44" t="s">
        <v>462</v>
      </c>
    </row>
    <row r="47" spans="1:9" x14ac:dyDescent="0.25">
      <c r="A47" t="s">
        <v>463</v>
      </c>
      <c r="D47" t="s">
        <v>467</v>
      </c>
    </row>
    <row r="48" spans="1:9" x14ac:dyDescent="0.25">
      <c r="B48" t="s">
        <v>472</v>
      </c>
      <c r="C48" t="s">
        <v>466</v>
      </c>
      <c r="D48" s="25" t="s">
        <v>296</v>
      </c>
      <c r="E48" s="25" t="s">
        <v>297</v>
      </c>
      <c r="G48" t="s">
        <v>468</v>
      </c>
      <c r="H48" t="s">
        <v>469</v>
      </c>
      <c r="I48" t="s">
        <v>72</v>
      </c>
    </row>
    <row r="49" spans="1:9" x14ac:dyDescent="0.25">
      <c r="A49" t="s">
        <v>464</v>
      </c>
      <c r="B49" t="s">
        <v>473</v>
      </c>
      <c r="C49" s="13">
        <v>2.1</v>
      </c>
      <c r="D49" s="25">
        <v>4.3</v>
      </c>
      <c r="E49" s="25">
        <v>15.3</v>
      </c>
      <c r="G49" s="11">
        <f>C49*D49</f>
        <v>9.0299999999999994</v>
      </c>
      <c r="H49" s="11">
        <f>C49*E49</f>
        <v>32.130000000000003</v>
      </c>
      <c r="I49" s="32">
        <f>G49+H49</f>
        <v>41.160000000000004</v>
      </c>
    </row>
    <row r="50" spans="1:9" x14ac:dyDescent="0.25">
      <c r="A50" t="s">
        <v>465</v>
      </c>
      <c r="B50" t="s">
        <v>300</v>
      </c>
      <c r="C50" s="13">
        <v>19.600000000000001</v>
      </c>
      <c r="D50" s="102">
        <v>5.5</v>
      </c>
      <c r="E50" s="25">
        <v>10.9</v>
      </c>
      <c r="G50" s="11">
        <f>C50*D50</f>
        <v>107.80000000000001</v>
      </c>
      <c r="H50" s="11">
        <f t="shared" ref="H50" si="3">C50*E50</f>
        <v>213.64000000000001</v>
      </c>
      <c r="I50" s="32">
        <f>G50+H50</f>
        <v>321.44000000000005</v>
      </c>
    </row>
    <row r="51" spans="1:9" x14ac:dyDescent="0.25">
      <c r="G51" s="11">
        <f>G49+G50</f>
        <v>116.83000000000001</v>
      </c>
      <c r="H51" s="11">
        <f t="shared" ref="H51:I51" si="4">H49+H50</f>
        <v>245.77</v>
      </c>
      <c r="I51" s="11">
        <f t="shared" si="4"/>
        <v>362.60000000000008</v>
      </c>
    </row>
    <row r="52" spans="1:9" x14ac:dyDescent="0.25">
      <c r="D52" s="25" t="s">
        <v>179</v>
      </c>
      <c r="E52" s="169" t="s">
        <v>305</v>
      </c>
    </row>
    <row r="53" spans="1:9" x14ac:dyDescent="0.25">
      <c r="D53" s="25"/>
      <c r="E53" s="169"/>
    </row>
    <row r="55" spans="1:9" x14ac:dyDescent="0.25">
      <c r="A55" t="s">
        <v>470</v>
      </c>
      <c r="C55" t="s">
        <v>468</v>
      </c>
      <c r="D55" t="s">
        <v>479</v>
      </c>
      <c r="E55" t="s">
        <v>461</v>
      </c>
      <c r="F55" t="s">
        <v>480</v>
      </c>
    </row>
    <row r="56" spans="1:9" x14ac:dyDescent="0.25">
      <c r="A56" t="s">
        <v>471</v>
      </c>
      <c r="B56" t="s">
        <v>474</v>
      </c>
      <c r="C56" s="11">
        <v>108</v>
      </c>
      <c r="D56" s="11">
        <f>E63</f>
        <v>2.76</v>
      </c>
      <c r="E56" s="11">
        <f>C56*D56</f>
        <v>298.08</v>
      </c>
      <c r="F56" s="11">
        <f>C56+E56</f>
        <v>406.08</v>
      </c>
    </row>
    <row r="59" spans="1:9" x14ac:dyDescent="0.25">
      <c r="B59" t="s">
        <v>298</v>
      </c>
      <c r="C59" t="s">
        <v>477</v>
      </c>
      <c r="D59" t="s">
        <v>478</v>
      </c>
      <c r="E59" t="s">
        <v>469</v>
      </c>
    </row>
    <row r="60" spans="1:9" x14ac:dyDescent="0.25">
      <c r="A60" t="s">
        <v>475</v>
      </c>
    </row>
    <row r="61" spans="1:9" x14ac:dyDescent="0.25">
      <c r="A61" t="s">
        <v>460</v>
      </c>
      <c r="B61">
        <v>100</v>
      </c>
      <c r="C61">
        <v>112.8</v>
      </c>
      <c r="D61">
        <v>163.30000000000001</v>
      </c>
      <c r="E61">
        <v>276</v>
      </c>
      <c r="F61" t="s">
        <v>179</v>
      </c>
      <c r="G61" t="s">
        <v>305</v>
      </c>
    </row>
    <row r="62" spans="1:9" x14ac:dyDescent="0.25">
      <c r="A62" t="s">
        <v>476</v>
      </c>
    </row>
    <row r="63" spans="1:9" x14ac:dyDescent="0.25">
      <c r="A63" t="s">
        <v>460</v>
      </c>
      <c r="B63">
        <f>B61/100</f>
        <v>1</v>
      </c>
      <c r="C63">
        <f>C61/100</f>
        <v>1.1279999999999999</v>
      </c>
      <c r="D63">
        <f>D61/100</f>
        <v>1.633</v>
      </c>
      <c r="E63">
        <f>E61/100</f>
        <v>2.76</v>
      </c>
    </row>
  </sheetData>
  <mergeCells count="1">
    <mergeCell ref="Q10:S10"/>
  </mergeCells>
  <hyperlinks>
    <hyperlink ref="E52" r:id="rId1" display="https://www.epi.org/publication/updated-employment-multipliers-for-the-u-s-economy/" xr:uid="{58AD1D09-5897-49DF-ABA1-6B42B9DA786D}"/>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A0B423-687D-4129-8B52-E2BA4CD166F9}">
  <sheetPr>
    <tabColor rgb="FF7030A0"/>
  </sheetPr>
  <dimension ref="A1:AO52"/>
  <sheetViews>
    <sheetView zoomScale="68" zoomScaleNormal="70" workbookViewId="0">
      <selection activeCell="Q1" sqref="Q1"/>
    </sheetView>
  </sheetViews>
  <sheetFormatPr defaultRowHeight="15" x14ac:dyDescent="0.25"/>
  <cols>
    <col min="3" max="3" width="29.28515625" bestFit="1" customWidth="1"/>
    <col min="18" max="18" width="27.7109375" bestFit="1" customWidth="1"/>
    <col min="27" max="27" width="13.7109375" customWidth="1"/>
    <col min="28" max="29" width="11" customWidth="1"/>
    <col min="31" max="31" width="31.42578125" customWidth="1"/>
  </cols>
  <sheetData>
    <row r="1" spans="1:41" ht="23.25" x14ac:dyDescent="0.25">
      <c r="A1" s="15" t="s">
        <v>315</v>
      </c>
      <c r="Q1" s="15" t="s">
        <v>316</v>
      </c>
      <c r="AE1" s="75" t="s">
        <v>317</v>
      </c>
      <c r="AF1" s="68"/>
      <c r="AG1" s="68"/>
      <c r="AH1" s="68"/>
      <c r="AI1" s="15" t="s">
        <v>318</v>
      </c>
      <c r="AJ1" s="68"/>
      <c r="AK1" s="68"/>
      <c r="AL1" s="68"/>
      <c r="AM1" s="68"/>
      <c r="AN1" s="68"/>
      <c r="AO1" s="68"/>
    </row>
    <row r="2" spans="1:41" ht="15.75" x14ac:dyDescent="0.25">
      <c r="AE2" s="76"/>
      <c r="AF2" s="70">
        <v>2019</v>
      </c>
      <c r="AG2" s="70">
        <v>2018</v>
      </c>
      <c r="AH2" s="70">
        <v>2017</v>
      </c>
      <c r="AI2" s="70">
        <v>2016</v>
      </c>
      <c r="AJ2" s="70">
        <v>2015</v>
      </c>
      <c r="AK2" s="70">
        <v>2014</v>
      </c>
      <c r="AL2" s="70">
        <v>2013</v>
      </c>
      <c r="AM2" s="70">
        <v>2012</v>
      </c>
      <c r="AN2" s="70">
        <v>2011</v>
      </c>
      <c r="AO2" s="70">
        <v>2010</v>
      </c>
    </row>
    <row r="3" spans="1:41" ht="15.75" x14ac:dyDescent="0.25">
      <c r="B3" s="84" t="s">
        <v>306</v>
      </c>
      <c r="C3" s="84" t="s">
        <v>319</v>
      </c>
      <c r="Q3" s="84" t="s">
        <v>306</v>
      </c>
      <c r="R3" s="84" t="s">
        <v>320</v>
      </c>
      <c r="Z3" s="115"/>
      <c r="AA3" s="115"/>
      <c r="AB3" s="115"/>
      <c r="AC3" s="115"/>
      <c r="AE3" s="77" t="s">
        <v>321</v>
      </c>
      <c r="AF3" s="69"/>
      <c r="AG3" s="69"/>
      <c r="AH3" s="69"/>
      <c r="AI3" s="69"/>
      <c r="AJ3" s="69"/>
      <c r="AK3" s="69"/>
      <c r="AL3" s="69"/>
      <c r="AM3" s="69"/>
      <c r="AN3" s="69"/>
      <c r="AO3" s="69"/>
    </row>
    <row r="4" spans="1:41" x14ac:dyDescent="0.25">
      <c r="B4">
        <v>2011</v>
      </c>
      <c r="C4">
        <v>1.1000000000000001</v>
      </c>
      <c r="Q4">
        <v>2016</v>
      </c>
      <c r="R4">
        <v>96</v>
      </c>
      <c r="Z4" s="65"/>
      <c r="AA4" s="65" t="s">
        <v>322</v>
      </c>
      <c r="AB4" s="65" t="s">
        <v>323</v>
      </c>
      <c r="AC4" s="65" t="s">
        <v>324</v>
      </c>
      <c r="AE4" s="78" t="s">
        <v>325</v>
      </c>
      <c r="AF4" s="71">
        <v>33244</v>
      </c>
      <c r="AG4" s="71">
        <v>33919</v>
      </c>
      <c r="AH4" s="71">
        <v>34560</v>
      </c>
      <c r="AI4" s="71">
        <v>34748</v>
      </c>
      <c r="AJ4" s="71">
        <v>32538</v>
      </c>
      <c r="AK4" s="71">
        <v>30056</v>
      </c>
      <c r="AL4" s="71">
        <v>30202</v>
      </c>
      <c r="AM4" s="71">
        <v>31006</v>
      </c>
      <c r="AN4" s="71">
        <v>29867</v>
      </c>
      <c r="AO4" s="71">
        <v>30296</v>
      </c>
    </row>
    <row r="5" spans="1:41" x14ac:dyDescent="0.25">
      <c r="B5">
        <v>2012</v>
      </c>
      <c r="C5">
        <v>1.1399999999999999</v>
      </c>
      <c r="Q5">
        <v>2017</v>
      </c>
      <c r="R5">
        <v>86</v>
      </c>
      <c r="Z5" s="65">
        <v>2020</v>
      </c>
      <c r="AA5" s="150">
        <v>3621681</v>
      </c>
      <c r="AB5" s="150">
        <v>2903622</v>
      </c>
      <c r="AC5" s="143">
        <f>AA5/AB5</f>
        <v>1.2472976854425266</v>
      </c>
      <c r="AE5" s="78" t="s">
        <v>326</v>
      </c>
      <c r="AF5" s="71">
        <v>1916000</v>
      </c>
      <c r="AG5" s="71">
        <v>1894000</v>
      </c>
      <c r="AH5" s="71">
        <v>1889000</v>
      </c>
      <c r="AI5" s="71">
        <v>2116000</v>
      </c>
      <c r="AJ5" s="71">
        <v>1715000</v>
      </c>
      <c r="AK5" s="71">
        <v>1648000</v>
      </c>
      <c r="AL5" s="71">
        <v>1591000</v>
      </c>
      <c r="AM5" s="71">
        <v>1634000</v>
      </c>
      <c r="AN5" s="71">
        <v>1530000</v>
      </c>
      <c r="AO5" s="71">
        <v>1542000</v>
      </c>
    </row>
    <row r="6" spans="1:41" x14ac:dyDescent="0.25">
      <c r="B6">
        <v>2013</v>
      </c>
      <c r="C6">
        <v>1.1000000000000001</v>
      </c>
      <c r="Q6">
        <v>2018</v>
      </c>
      <c r="R6">
        <v>84</v>
      </c>
      <c r="Z6" s="65">
        <v>2019</v>
      </c>
      <c r="AA6" s="149">
        <v>4806253</v>
      </c>
      <c r="AB6" s="149">
        <v>3261772</v>
      </c>
      <c r="AC6" s="143">
        <f t="shared" ref="AC6:AC14" si="0">AA6/AB6</f>
        <v>1.473509797741841</v>
      </c>
      <c r="AE6" s="78" t="s">
        <v>327</v>
      </c>
      <c r="AF6" s="71">
        <v>4806000</v>
      </c>
      <c r="AG6" s="71">
        <v>4807000</v>
      </c>
      <c r="AH6" s="71">
        <v>4530000</v>
      </c>
      <c r="AI6" s="71">
        <v>4670000</v>
      </c>
      <c r="AJ6" s="71">
        <v>4548000</v>
      </c>
      <c r="AK6" s="71">
        <v>4387000</v>
      </c>
      <c r="AL6" s="71">
        <v>4066000</v>
      </c>
      <c r="AM6" s="71">
        <v>3950000</v>
      </c>
      <c r="AN6" s="71">
        <v>3778000</v>
      </c>
      <c r="AO6" s="71">
        <v>3847000</v>
      </c>
    </row>
    <row r="7" spans="1:41" x14ac:dyDescent="0.25">
      <c r="B7">
        <v>2014</v>
      </c>
      <c r="C7">
        <v>1.08</v>
      </c>
      <c r="Q7">
        <v>2019</v>
      </c>
      <c r="R7">
        <v>84</v>
      </c>
      <c r="Z7" s="65">
        <v>2018</v>
      </c>
      <c r="AA7" s="144">
        <v>4807058</v>
      </c>
      <c r="AB7" s="144">
        <v>3240327</v>
      </c>
      <c r="AC7" s="143">
        <f t="shared" si="0"/>
        <v>1.483510151907508</v>
      </c>
      <c r="AE7" s="79" t="s">
        <v>328</v>
      </c>
      <c r="AF7" s="71">
        <v>6756000</v>
      </c>
      <c r="AG7" s="71">
        <v>6735000</v>
      </c>
      <c r="AH7" s="71">
        <v>6453000</v>
      </c>
      <c r="AI7" s="71">
        <v>6821000</v>
      </c>
      <c r="AJ7" s="71">
        <v>6296000</v>
      </c>
      <c r="AK7" s="71">
        <v>6064000</v>
      </c>
      <c r="AL7" s="71">
        <v>5687000</v>
      </c>
      <c r="AM7" s="71">
        <v>5615000</v>
      </c>
      <c r="AN7" s="71">
        <v>5338000</v>
      </c>
      <c r="AO7" s="71">
        <v>5419000</v>
      </c>
    </row>
    <row r="8" spans="1:41" ht="15.75" x14ac:dyDescent="0.25">
      <c r="B8">
        <v>2015</v>
      </c>
      <c r="C8">
        <v>1.1499999999999999</v>
      </c>
      <c r="Q8">
        <v>2020</v>
      </c>
      <c r="R8">
        <v>79</v>
      </c>
      <c r="Z8" s="65">
        <v>2017</v>
      </c>
      <c r="AA8" s="144">
        <v>4529513</v>
      </c>
      <c r="AB8" s="144">
        <v>3210248</v>
      </c>
      <c r="AC8" s="143">
        <f t="shared" si="0"/>
        <v>1.4109542315733863</v>
      </c>
      <c r="AE8" s="77" t="s">
        <v>329</v>
      </c>
      <c r="AF8" s="69"/>
      <c r="AG8" s="69"/>
      <c r="AH8" s="69"/>
      <c r="AI8" s="69"/>
      <c r="AJ8" s="69"/>
      <c r="AK8" s="69"/>
      <c r="AL8" s="69"/>
      <c r="AM8" s="69"/>
      <c r="AN8" s="69"/>
      <c r="AO8" s="69"/>
    </row>
    <row r="9" spans="1:41" x14ac:dyDescent="0.25">
      <c r="B9">
        <v>2016</v>
      </c>
      <c r="C9">
        <v>1.19</v>
      </c>
      <c r="Q9" s="12" t="s">
        <v>107</v>
      </c>
      <c r="R9" s="12">
        <f>AVERAGE(R4:R8)</f>
        <v>85.8</v>
      </c>
      <c r="Z9" s="65">
        <v>2016</v>
      </c>
      <c r="AA9" s="144">
        <v>4670073</v>
      </c>
      <c r="AB9" s="144">
        <v>3173815</v>
      </c>
      <c r="AC9" s="143">
        <f t="shared" si="0"/>
        <v>1.4714383163479914</v>
      </c>
      <c r="AE9" s="79" t="s">
        <v>330</v>
      </c>
      <c r="AF9" s="71">
        <v>23744</v>
      </c>
      <c r="AG9" s="71">
        <v>24332</v>
      </c>
      <c r="AH9" s="71">
        <v>25130</v>
      </c>
      <c r="AI9" s="71">
        <v>25276</v>
      </c>
      <c r="AJ9" s="71">
        <v>23899</v>
      </c>
      <c r="AK9" s="71">
        <v>22307</v>
      </c>
      <c r="AL9" s="71">
        <v>22483</v>
      </c>
      <c r="AM9" s="71">
        <v>23017</v>
      </c>
      <c r="AN9" s="71">
        <v>22510</v>
      </c>
      <c r="AO9" s="71">
        <v>23371</v>
      </c>
    </row>
    <row r="10" spans="1:41" x14ac:dyDescent="0.25">
      <c r="B10">
        <v>2017</v>
      </c>
      <c r="C10">
        <v>1.17</v>
      </c>
      <c r="Z10" s="65">
        <v>2015</v>
      </c>
      <c r="AA10" s="144">
        <v>4548203</v>
      </c>
      <c r="AB10" s="144">
        <v>3089841</v>
      </c>
      <c r="AC10" s="143">
        <f t="shared" si="0"/>
        <v>1.4719860989610791</v>
      </c>
      <c r="AE10" s="78" t="s">
        <v>331</v>
      </c>
      <c r="AF10" s="71">
        <v>17880</v>
      </c>
      <c r="AG10" s="71">
        <v>18321</v>
      </c>
      <c r="AH10" s="71">
        <v>18819</v>
      </c>
      <c r="AI10" s="71">
        <v>18717</v>
      </c>
      <c r="AJ10" s="71">
        <v>17615</v>
      </c>
      <c r="AK10" s="71">
        <v>16470</v>
      </c>
      <c r="AL10" s="71">
        <v>16520</v>
      </c>
      <c r="AM10" s="71">
        <v>16838</v>
      </c>
      <c r="AN10" s="71">
        <v>16474</v>
      </c>
      <c r="AO10" s="71">
        <v>16864</v>
      </c>
    </row>
    <row r="11" spans="1:41" x14ac:dyDescent="0.25">
      <c r="B11">
        <v>2018</v>
      </c>
      <c r="C11">
        <v>1.1399999999999999</v>
      </c>
      <c r="Z11" s="65">
        <v>2014</v>
      </c>
      <c r="AA11" s="144">
        <v>4386502</v>
      </c>
      <c r="AB11" s="144">
        <v>3020377</v>
      </c>
      <c r="AC11" s="143">
        <f t="shared" si="0"/>
        <v>1.4523028085566803</v>
      </c>
      <c r="AE11" s="78" t="s">
        <v>332</v>
      </c>
      <c r="AF11" s="71">
        <v>5807</v>
      </c>
      <c r="AG11" s="71">
        <v>5962</v>
      </c>
      <c r="AH11" s="71">
        <v>6237</v>
      </c>
      <c r="AI11" s="71">
        <v>6485</v>
      </c>
      <c r="AJ11" s="71">
        <v>6213</v>
      </c>
      <c r="AK11" s="71">
        <v>5766</v>
      </c>
      <c r="AL11" s="71">
        <v>5896</v>
      </c>
      <c r="AM11" s="71">
        <v>6106</v>
      </c>
      <c r="AN11" s="71">
        <v>5972</v>
      </c>
      <c r="AO11" s="71">
        <v>6451</v>
      </c>
    </row>
    <row r="12" spans="1:41" x14ac:dyDescent="0.25">
      <c r="B12">
        <v>2019</v>
      </c>
      <c r="C12">
        <v>1.1100000000000001</v>
      </c>
      <c r="Z12" s="65">
        <v>2013</v>
      </c>
      <c r="AA12" s="144">
        <v>4065673</v>
      </c>
      <c r="AB12" s="144">
        <v>2982941</v>
      </c>
      <c r="AC12" s="143">
        <f t="shared" si="0"/>
        <v>1.3629746615839871</v>
      </c>
      <c r="AE12" s="78" t="s">
        <v>333</v>
      </c>
      <c r="AF12" s="72">
        <v>57</v>
      </c>
      <c r="AG12" s="72">
        <v>49</v>
      </c>
      <c r="AH12" s="72">
        <v>74</v>
      </c>
      <c r="AI12" s="72">
        <v>74</v>
      </c>
      <c r="AJ12" s="72">
        <v>71</v>
      </c>
      <c r="AK12" s="72">
        <v>71</v>
      </c>
      <c r="AL12" s="72">
        <v>67</v>
      </c>
      <c r="AM12" s="72">
        <v>73</v>
      </c>
      <c r="AN12" s="72">
        <v>64</v>
      </c>
      <c r="AO12" s="72">
        <v>56</v>
      </c>
    </row>
    <row r="13" spans="1:41" x14ac:dyDescent="0.25">
      <c r="B13">
        <v>2020</v>
      </c>
      <c r="C13">
        <v>1.34</v>
      </c>
      <c r="Z13" s="65">
        <v>2012</v>
      </c>
      <c r="AA13" s="144">
        <v>3949858</v>
      </c>
      <c r="AB13" s="144">
        <v>2963497</v>
      </c>
      <c r="AC13" s="143">
        <f t="shared" si="0"/>
        <v>1.3328368478186412</v>
      </c>
      <c r="AE13" s="79" t="s">
        <v>334</v>
      </c>
      <c r="AF13" s="71">
        <v>5014</v>
      </c>
      <c r="AG13" s="71">
        <v>5038</v>
      </c>
      <c r="AH13" s="71">
        <v>5226</v>
      </c>
      <c r="AI13" s="71">
        <v>5337</v>
      </c>
      <c r="AJ13" s="71">
        <v>5029</v>
      </c>
      <c r="AK13" s="71">
        <v>4594</v>
      </c>
      <c r="AL13" s="71">
        <v>4692</v>
      </c>
      <c r="AM13" s="71">
        <v>4986</v>
      </c>
      <c r="AN13" s="71">
        <v>4630</v>
      </c>
      <c r="AO13" s="71">
        <v>4518</v>
      </c>
    </row>
    <row r="14" spans="1:41" x14ac:dyDescent="0.25">
      <c r="B14">
        <v>2021</v>
      </c>
      <c r="C14">
        <v>1.33</v>
      </c>
      <c r="Z14" s="65">
        <v>2011</v>
      </c>
      <c r="AA14" s="144">
        <v>3777994</v>
      </c>
      <c r="AB14" s="144">
        <v>2945194</v>
      </c>
      <c r="AC14" s="143">
        <f t="shared" si="0"/>
        <v>1.2827657532916337</v>
      </c>
      <c r="AE14" s="79" t="s">
        <v>335</v>
      </c>
      <c r="AF14" s="71">
        <v>7338</v>
      </c>
      <c r="AG14" s="71">
        <v>7465</v>
      </c>
      <c r="AH14" s="71">
        <v>7117</v>
      </c>
      <c r="AI14" s="71">
        <v>7193</v>
      </c>
      <c r="AJ14" s="71">
        <v>6556</v>
      </c>
      <c r="AK14" s="71">
        <v>5843</v>
      </c>
      <c r="AL14" s="71">
        <v>5718</v>
      </c>
      <c r="AM14" s="71">
        <v>5779</v>
      </c>
      <c r="AN14" s="71">
        <v>5339</v>
      </c>
      <c r="AO14" s="71">
        <v>5110</v>
      </c>
    </row>
    <row r="15" spans="1:41" x14ac:dyDescent="0.25">
      <c r="B15" s="12" t="s">
        <v>107</v>
      </c>
      <c r="C15" s="12">
        <f>AVERAGE(C4:C14)</f>
        <v>1.1681818181818182</v>
      </c>
      <c r="Z15" s="145"/>
      <c r="AA15" s="65"/>
      <c r="AB15" s="65"/>
      <c r="AC15" s="65"/>
      <c r="AE15" s="78" t="s">
        <v>336</v>
      </c>
      <c r="AF15" s="71">
        <v>6205</v>
      </c>
      <c r="AG15" s="71">
        <v>6374</v>
      </c>
      <c r="AH15" s="71">
        <v>6075</v>
      </c>
      <c r="AI15" s="71">
        <v>6080</v>
      </c>
      <c r="AJ15" s="71">
        <v>5494</v>
      </c>
      <c r="AK15" s="71">
        <v>4910</v>
      </c>
      <c r="AL15" s="71">
        <v>4779</v>
      </c>
      <c r="AM15" s="71">
        <v>4818</v>
      </c>
      <c r="AN15" s="71">
        <v>4457</v>
      </c>
      <c r="AO15" s="71">
        <v>4302</v>
      </c>
    </row>
    <row r="16" spans="1:41" x14ac:dyDescent="0.25">
      <c r="Z16" s="146" t="s">
        <v>337</v>
      </c>
      <c r="AA16" s="147"/>
      <c r="AB16" s="147"/>
      <c r="AC16" s="148">
        <f>AVERAGE(AC5:AC8)</f>
        <v>1.4038179666663155</v>
      </c>
      <c r="AE16" s="78" t="s">
        <v>338</v>
      </c>
      <c r="AF16" s="72">
        <v>846</v>
      </c>
      <c r="AG16" s="72">
        <v>871</v>
      </c>
      <c r="AH16" s="72">
        <v>806</v>
      </c>
      <c r="AI16" s="72">
        <v>853</v>
      </c>
      <c r="AJ16" s="72">
        <v>829</v>
      </c>
      <c r="AK16" s="72">
        <v>729</v>
      </c>
      <c r="AL16" s="72">
        <v>749</v>
      </c>
      <c r="AM16" s="72">
        <v>734</v>
      </c>
      <c r="AN16" s="72">
        <v>682</v>
      </c>
      <c r="AO16" s="72">
        <v>623</v>
      </c>
    </row>
    <row r="17" spans="26:41" x14ac:dyDescent="0.25">
      <c r="Z17" s="7"/>
      <c r="AE17" s="78" t="s">
        <v>339</v>
      </c>
      <c r="AF17" s="72">
        <v>287</v>
      </c>
      <c r="AG17" s="72">
        <v>220</v>
      </c>
      <c r="AH17" s="72">
        <v>236</v>
      </c>
      <c r="AI17" s="72">
        <v>260</v>
      </c>
      <c r="AJ17" s="72">
        <v>233</v>
      </c>
      <c r="AK17" s="72">
        <v>204</v>
      </c>
      <c r="AL17" s="72">
        <v>190</v>
      </c>
      <c r="AM17" s="72">
        <v>227</v>
      </c>
      <c r="AN17" s="72">
        <v>200</v>
      </c>
      <c r="AO17" s="72">
        <v>185</v>
      </c>
    </row>
    <row r="18" spans="26:41" x14ac:dyDescent="0.25">
      <c r="Z18" s="7"/>
      <c r="AE18" s="79" t="s">
        <v>328</v>
      </c>
      <c r="AF18" s="71">
        <v>36096</v>
      </c>
      <c r="AG18" s="71">
        <v>36835</v>
      </c>
      <c r="AH18" s="71">
        <v>37473</v>
      </c>
      <c r="AI18" s="71">
        <v>37806</v>
      </c>
      <c r="AJ18" s="71">
        <v>35484</v>
      </c>
      <c r="AK18" s="71">
        <v>32744</v>
      </c>
      <c r="AL18" s="71">
        <v>32893</v>
      </c>
      <c r="AM18" s="71">
        <v>33782</v>
      </c>
      <c r="AN18" s="71">
        <v>32479</v>
      </c>
      <c r="AO18" s="71">
        <v>32999</v>
      </c>
    </row>
    <row r="19" spans="26:41" ht="15.75" x14ac:dyDescent="0.25">
      <c r="Z19" s="7"/>
      <c r="AE19" s="77" t="s">
        <v>340</v>
      </c>
      <c r="AF19" s="69"/>
      <c r="AG19" s="69"/>
      <c r="AH19" s="69"/>
      <c r="AI19" s="69"/>
      <c r="AJ19" s="69"/>
      <c r="AK19" s="69"/>
      <c r="AL19" s="69"/>
      <c r="AM19" s="69"/>
      <c r="AN19" s="69"/>
      <c r="AO19" s="69"/>
    </row>
    <row r="20" spans="26:41" x14ac:dyDescent="0.25">
      <c r="Z20" s="7"/>
      <c r="AE20" s="79" t="s">
        <v>330</v>
      </c>
      <c r="AF20" s="71">
        <v>2516000</v>
      </c>
      <c r="AG20" s="71">
        <v>2492000</v>
      </c>
      <c r="AH20" s="71">
        <v>2523000</v>
      </c>
      <c r="AI20" s="71">
        <v>2791000</v>
      </c>
      <c r="AJ20" s="71">
        <v>2241000</v>
      </c>
      <c r="AK20" s="71">
        <v>2125000</v>
      </c>
      <c r="AL20" s="71">
        <v>2105000</v>
      </c>
      <c r="AM20" s="71">
        <v>2140000</v>
      </c>
      <c r="AN20" s="71">
        <v>2019000</v>
      </c>
      <c r="AO20" s="71">
        <v>2036000</v>
      </c>
    </row>
    <row r="21" spans="26:41" x14ac:dyDescent="0.25">
      <c r="Z21" s="7"/>
      <c r="AA21" s="115"/>
      <c r="AB21" s="115"/>
      <c r="AC21" s="115"/>
      <c r="AE21" s="78" t="s">
        <v>331</v>
      </c>
      <c r="AF21" s="71">
        <v>1858000</v>
      </c>
      <c r="AG21" s="71">
        <v>1808000</v>
      </c>
      <c r="AH21" s="71">
        <v>1816000</v>
      </c>
      <c r="AI21" s="71">
        <v>2004000</v>
      </c>
      <c r="AJ21" s="71">
        <v>1610000</v>
      </c>
      <c r="AK21" s="71">
        <v>1526000</v>
      </c>
      <c r="AL21" s="71">
        <v>1454000</v>
      </c>
      <c r="AM21" s="71">
        <v>1492000</v>
      </c>
      <c r="AN21" s="71">
        <v>1420000</v>
      </c>
      <c r="AO21" s="71">
        <v>1435000</v>
      </c>
    </row>
    <row r="22" spans="26:41" x14ac:dyDescent="0.25">
      <c r="Z22" s="115"/>
      <c r="AE22" s="78" t="s">
        <v>332</v>
      </c>
      <c r="AF22" s="71">
        <v>657000</v>
      </c>
      <c r="AG22" s="71">
        <v>681000</v>
      </c>
      <c r="AH22" s="71">
        <v>707000</v>
      </c>
      <c r="AI22" s="71">
        <v>787000</v>
      </c>
      <c r="AJ22" s="71">
        <v>629000</v>
      </c>
      <c r="AK22" s="71">
        <v>599000</v>
      </c>
      <c r="AL22" s="71">
        <v>650000</v>
      </c>
      <c r="AM22" s="71">
        <v>647000</v>
      </c>
      <c r="AN22" s="71">
        <v>599000</v>
      </c>
      <c r="AO22" s="71">
        <v>600000</v>
      </c>
    </row>
    <row r="23" spans="26:41" x14ac:dyDescent="0.25">
      <c r="Z23" s="115"/>
      <c r="AA23" s="137"/>
      <c r="AB23" s="137"/>
      <c r="AC23" s="138"/>
      <c r="AE23" s="78" t="s">
        <v>333</v>
      </c>
      <c r="AF23" s="71">
        <v>1000</v>
      </c>
      <c r="AG23" s="71">
        <v>3000</v>
      </c>
      <c r="AH23" s="73" t="s">
        <v>341</v>
      </c>
      <c r="AI23" s="71">
        <v>1000</v>
      </c>
      <c r="AJ23" s="71">
        <v>1000</v>
      </c>
      <c r="AK23" s="73" t="s">
        <v>341</v>
      </c>
      <c r="AL23" s="73" t="s">
        <v>341</v>
      </c>
      <c r="AM23" s="71">
        <v>1000</v>
      </c>
      <c r="AN23" s="71">
        <v>1000</v>
      </c>
      <c r="AO23" s="73" t="s">
        <v>341</v>
      </c>
    </row>
    <row r="24" spans="26:41" x14ac:dyDescent="0.25">
      <c r="Z24" s="115"/>
      <c r="AA24" s="137"/>
      <c r="AB24" s="137"/>
      <c r="AC24" s="138"/>
      <c r="AE24" s="79" t="s">
        <v>334</v>
      </c>
      <c r="AF24" s="71">
        <v>84000</v>
      </c>
      <c r="AG24" s="71">
        <v>82000</v>
      </c>
      <c r="AH24" s="71">
        <v>89000</v>
      </c>
      <c r="AI24" s="71">
        <v>104000</v>
      </c>
      <c r="AJ24" s="71">
        <v>89000</v>
      </c>
      <c r="AK24" s="71">
        <v>92000</v>
      </c>
      <c r="AL24" s="71">
        <v>89000</v>
      </c>
      <c r="AM24" s="71">
        <v>93000</v>
      </c>
      <c r="AN24" s="71">
        <v>82000</v>
      </c>
      <c r="AO24" s="71">
        <v>82000</v>
      </c>
    </row>
    <row r="25" spans="26:41" x14ac:dyDescent="0.25">
      <c r="Z25" s="115"/>
      <c r="AA25" s="137"/>
      <c r="AB25" s="137"/>
      <c r="AC25" s="138"/>
      <c r="AE25" s="79" t="s">
        <v>335</v>
      </c>
      <c r="AF25" s="71">
        <v>140000</v>
      </c>
      <c r="AG25" s="71">
        <v>137000</v>
      </c>
      <c r="AH25" s="71">
        <v>133000</v>
      </c>
      <c r="AI25" s="71">
        <v>166000</v>
      </c>
      <c r="AJ25" s="71">
        <v>125000</v>
      </c>
      <c r="AK25" s="71">
        <v>125000</v>
      </c>
      <c r="AL25" s="71">
        <v>125000</v>
      </c>
      <c r="AM25" s="71">
        <v>136000</v>
      </c>
      <c r="AN25" s="71">
        <v>126000</v>
      </c>
      <c r="AO25" s="71">
        <v>130000</v>
      </c>
    </row>
    <row r="26" spans="26:41" x14ac:dyDescent="0.25">
      <c r="Z26" s="115"/>
      <c r="AA26" s="137"/>
      <c r="AB26" s="137"/>
      <c r="AC26" s="138"/>
      <c r="AE26" s="78" t="s">
        <v>336</v>
      </c>
      <c r="AF26" s="71">
        <v>76000</v>
      </c>
      <c r="AG26" s="71">
        <v>75000</v>
      </c>
      <c r="AH26" s="71">
        <v>71000</v>
      </c>
      <c r="AI26" s="71">
        <v>86000</v>
      </c>
      <c r="AJ26" s="71">
        <v>70000</v>
      </c>
      <c r="AK26" s="71">
        <v>65000</v>
      </c>
      <c r="AL26" s="71">
        <v>66000</v>
      </c>
      <c r="AM26" s="71">
        <v>76000</v>
      </c>
      <c r="AN26" s="71">
        <v>69000</v>
      </c>
      <c r="AO26" s="71">
        <v>70000</v>
      </c>
    </row>
    <row r="27" spans="26:41" x14ac:dyDescent="0.25">
      <c r="Z27" s="115"/>
      <c r="AA27" s="137"/>
      <c r="AB27" s="137"/>
      <c r="AC27" s="138"/>
      <c r="AE27" s="78" t="s">
        <v>338</v>
      </c>
      <c r="AF27" s="71">
        <v>49000</v>
      </c>
      <c r="AG27" s="71">
        <v>47000</v>
      </c>
      <c r="AH27" s="71">
        <v>50000</v>
      </c>
      <c r="AI27" s="71">
        <v>64000</v>
      </c>
      <c r="AJ27" s="71">
        <v>45000</v>
      </c>
      <c r="AK27" s="71">
        <v>50000</v>
      </c>
      <c r="AL27" s="71">
        <v>48000</v>
      </c>
      <c r="AM27" s="71">
        <v>49000</v>
      </c>
      <c r="AN27" s="71">
        <v>48000</v>
      </c>
      <c r="AO27" s="71">
        <v>52000</v>
      </c>
    </row>
    <row r="28" spans="26:41" x14ac:dyDescent="0.25">
      <c r="Z28" s="115"/>
      <c r="AA28" s="137"/>
      <c r="AB28" s="137"/>
      <c r="AC28" s="138"/>
      <c r="AE28" s="78" t="s">
        <v>339</v>
      </c>
      <c r="AF28" s="71">
        <v>16000</v>
      </c>
      <c r="AG28" s="71">
        <v>15000</v>
      </c>
      <c r="AH28" s="71">
        <v>12000</v>
      </c>
      <c r="AI28" s="71">
        <v>16000</v>
      </c>
      <c r="AJ28" s="71">
        <v>10000</v>
      </c>
      <c r="AK28" s="71">
        <v>10000</v>
      </c>
      <c r="AL28" s="71">
        <v>11000</v>
      </c>
      <c r="AM28" s="71">
        <v>10000</v>
      </c>
      <c r="AN28" s="71">
        <v>9000</v>
      </c>
      <c r="AO28" s="71">
        <v>8000</v>
      </c>
    </row>
    <row r="29" spans="26:41" x14ac:dyDescent="0.25">
      <c r="Z29" s="115"/>
      <c r="AA29" s="137"/>
      <c r="AB29" s="137"/>
      <c r="AC29" s="138"/>
      <c r="AE29" s="79" t="s">
        <v>328</v>
      </c>
      <c r="AF29" s="71">
        <v>2740000</v>
      </c>
      <c r="AG29" s="71">
        <v>2710000</v>
      </c>
      <c r="AH29" s="71">
        <v>2745000</v>
      </c>
      <c r="AI29" s="71">
        <v>3062000</v>
      </c>
      <c r="AJ29" s="71">
        <v>2455000</v>
      </c>
      <c r="AK29" s="71">
        <v>2343000</v>
      </c>
      <c r="AL29" s="71">
        <v>2319000</v>
      </c>
      <c r="AM29" s="71">
        <v>2369000</v>
      </c>
      <c r="AN29" s="71">
        <v>2227000</v>
      </c>
      <c r="AO29" s="71">
        <v>2248000</v>
      </c>
    </row>
    <row r="30" spans="26:41" ht="15.75" x14ac:dyDescent="0.25">
      <c r="Z30" s="115"/>
      <c r="AA30" s="137"/>
      <c r="AB30" s="137"/>
      <c r="AC30" s="138"/>
      <c r="AE30" s="77" t="s">
        <v>342</v>
      </c>
      <c r="AF30" s="69"/>
      <c r="AG30" s="69"/>
      <c r="AH30" s="69"/>
      <c r="AI30" s="69"/>
      <c r="AJ30" s="69"/>
      <c r="AK30" s="69"/>
      <c r="AL30" s="69"/>
      <c r="AM30" s="69"/>
      <c r="AN30" s="69"/>
      <c r="AO30" s="69"/>
    </row>
    <row r="31" spans="26:41" x14ac:dyDescent="0.25">
      <c r="Z31" s="115"/>
      <c r="AA31" s="137"/>
      <c r="AB31" s="137"/>
      <c r="AC31" s="138"/>
      <c r="AE31" s="78" t="s">
        <v>343</v>
      </c>
      <c r="AF31" s="71">
        <v>3261772</v>
      </c>
      <c r="AG31" s="71">
        <v>3240327</v>
      </c>
      <c r="AH31" s="71">
        <v>3210248</v>
      </c>
      <c r="AI31" s="71">
        <v>3173815</v>
      </c>
      <c r="AJ31" s="71">
        <v>3089841</v>
      </c>
      <c r="AK31" s="71">
        <v>3020377</v>
      </c>
      <c r="AL31" s="71">
        <v>2982941</v>
      </c>
      <c r="AM31" s="71">
        <v>2963497</v>
      </c>
      <c r="AN31" s="71">
        <v>2945194</v>
      </c>
      <c r="AO31" s="71">
        <v>2967266</v>
      </c>
    </row>
    <row r="32" spans="26:41" x14ac:dyDescent="0.25">
      <c r="Z32" s="115"/>
      <c r="AA32" s="137"/>
      <c r="AB32" s="137"/>
      <c r="AC32" s="138"/>
      <c r="AE32" s="78" t="s">
        <v>344</v>
      </c>
      <c r="AF32" s="71">
        <v>328239523</v>
      </c>
      <c r="AG32" s="71">
        <v>326687501</v>
      </c>
      <c r="AH32" s="71">
        <v>324985539</v>
      </c>
      <c r="AI32" s="71">
        <v>322941311</v>
      </c>
      <c r="AJ32" s="71">
        <v>320635163</v>
      </c>
      <c r="AK32" s="71">
        <v>318301008</v>
      </c>
      <c r="AL32" s="71">
        <v>315993715</v>
      </c>
      <c r="AM32" s="71">
        <v>313830990</v>
      </c>
      <c r="AN32" s="71">
        <v>311556874</v>
      </c>
      <c r="AO32" s="71">
        <v>309321666</v>
      </c>
    </row>
    <row r="33" spans="26:41" x14ac:dyDescent="0.25">
      <c r="Z33" s="139"/>
      <c r="AA33" s="115"/>
      <c r="AB33" s="115"/>
      <c r="AC33" s="115"/>
      <c r="AE33" s="78" t="s">
        <v>345</v>
      </c>
      <c r="AF33" s="71">
        <v>299267114</v>
      </c>
      <c r="AG33" s="71">
        <v>297036214</v>
      </c>
      <c r="AH33" s="71">
        <v>290335891</v>
      </c>
      <c r="AI33" s="71">
        <v>288033900</v>
      </c>
      <c r="AJ33" s="71">
        <v>281312446</v>
      </c>
      <c r="AK33" s="71">
        <v>274804904</v>
      </c>
      <c r="AL33" s="71">
        <v>269294302</v>
      </c>
      <c r="AM33" s="71">
        <v>265647194</v>
      </c>
      <c r="AN33" s="71">
        <v>265043362</v>
      </c>
      <c r="AO33" s="71">
        <v>257312235</v>
      </c>
    </row>
    <row r="34" spans="26:41" x14ac:dyDescent="0.25">
      <c r="Z34" s="140"/>
      <c r="AA34" s="141"/>
      <c r="AB34" s="141"/>
      <c r="AC34" s="142"/>
      <c r="AE34" s="78" t="s">
        <v>346</v>
      </c>
      <c r="AF34" s="71">
        <v>228679719</v>
      </c>
      <c r="AG34" s="71">
        <v>227558385</v>
      </c>
      <c r="AH34" s="71">
        <v>225346257</v>
      </c>
      <c r="AI34" s="71">
        <v>221711918</v>
      </c>
      <c r="AJ34" s="71">
        <v>218084465</v>
      </c>
      <c r="AK34" s="71">
        <v>214092472</v>
      </c>
      <c r="AL34" s="71">
        <v>212159728</v>
      </c>
      <c r="AM34" s="71">
        <v>211814830</v>
      </c>
      <c r="AN34" s="71">
        <v>211874649</v>
      </c>
      <c r="AO34" s="71">
        <v>210114939</v>
      </c>
    </row>
    <row r="35" spans="26:41" ht="15.75" x14ac:dyDescent="0.25">
      <c r="AE35" s="77" t="s">
        <v>347</v>
      </c>
      <c r="AF35" s="69"/>
      <c r="AG35" s="69"/>
      <c r="AH35" s="69"/>
      <c r="AI35" s="69"/>
      <c r="AJ35" s="69"/>
      <c r="AK35" s="69"/>
      <c r="AL35" s="69"/>
      <c r="AM35" s="69"/>
      <c r="AN35" s="69"/>
      <c r="AO35" s="69"/>
    </row>
    <row r="36" spans="26:41" x14ac:dyDescent="0.25">
      <c r="AE36" s="78" t="s">
        <v>348</v>
      </c>
      <c r="AF36" s="74">
        <v>1.1100000000000001</v>
      </c>
      <c r="AG36" s="74">
        <v>1.1399999999999999</v>
      </c>
      <c r="AH36" s="74">
        <v>1.17</v>
      </c>
      <c r="AI36" s="74">
        <v>1.19</v>
      </c>
      <c r="AJ36" s="74">
        <v>1.1499999999999999</v>
      </c>
      <c r="AK36" s="74">
        <v>1.08</v>
      </c>
      <c r="AL36" s="74">
        <v>1.1000000000000001</v>
      </c>
      <c r="AM36" s="74">
        <v>1.1399999999999999</v>
      </c>
      <c r="AN36" s="74">
        <v>1.1000000000000001</v>
      </c>
      <c r="AO36" s="74">
        <v>1.1100000000000001</v>
      </c>
    </row>
    <row r="37" spans="26:41" x14ac:dyDescent="0.25">
      <c r="AE37" s="78" t="s">
        <v>349</v>
      </c>
      <c r="AF37" s="74">
        <v>11</v>
      </c>
      <c r="AG37" s="74">
        <v>11.28</v>
      </c>
      <c r="AH37" s="74">
        <v>11.53</v>
      </c>
      <c r="AI37" s="74">
        <v>11.71</v>
      </c>
      <c r="AJ37" s="74">
        <v>11.07</v>
      </c>
      <c r="AK37" s="74">
        <v>10.29</v>
      </c>
      <c r="AL37" s="74">
        <v>10.41</v>
      </c>
      <c r="AM37" s="74">
        <v>10.76</v>
      </c>
      <c r="AN37" s="74">
        <v>10.42</v>
      </c>
      <c r="AO37" s="74">
        <v>10.67</v>
      </c>
    </row>
    <row r="38" spans="26:41" x14ac:dyDescent="0.25">
      <c r="AE38" s="78" t="s">
        <v>350</v>
      </c>
      <c r="AF38" s="74">
        <v>12.06</v>
      </c>
      <c r="AG38" s="74">
        <v>12.4</v>
      </c>
      <c r="AH38" s="74">
        <v>12.91</v>
      </c>
      <c r="AI38" s="74">
        <v>13.13</v>
      </c>
      <c r="AJ38" s="74">
        <v>12.61</v>
      </c>
      <c r="AK38" s="74">
        <v>11.92</v>
      </c>
      <c r="AL38" s="74">
        <v>12.21</v>
      </c>
      <c r="AM38" s="74">
        <v>12.72</v>
      </c>
      <c r="AN38" s="74">
        <v>12.25</v>
      </c>
      <c r="AO38" s="74">
        <v>12.82</v>
      </c>
    </row>
    <row r="39" spans="26:41" x14ac:dyDescent="0.25">
      <c r="AE39" s="78" t="s">
        <v>351</v>
      </c>
      <c r="AF39" s="74">
        <v>15.78</v>
      </c>
      <c r="AG39" s="74">
        <v>16.190000000000001</v>
      </c>
      <c r="AH39" s="74">
        <v>16.63</v>
      </c>
      <c r="AI39" s="74">
        <v>17.05</v>
      </c>
      <c r="AJ39" s="74">
        <v>16.27</v>
      </c>
      <c r="AK39" s="74">
        <v>15.29</v>
      </c>
      <c r="AL39" s="74">
        <v>15.5</v>
      </c>
      <c r="AM39" s="74">
        <v>15.95</v>
      </c>
      <c r="AN39" s="74">
        <v>15.33</v>
      </c>
      <c r="AO39" s="74">
        <v>15.71</v>
      </c>
    </row>
    <row r="40" spans="26:41" ht="15.75" x14ac:dyDescent="0.25">
      <c r="AE40" s="77" t="s">
        <v>352</v>
      </c>
      <c r="AF40" s="69"/>
      <c r="AG40" s="69"/>
      <c r="AH40" s="69"/>
      <c r="AI40" s="69"/>
      <c r="AJ40" s="69"/>
      <c r="AK40" s="69"/>
      <c r="AL40" s="69"/>
      <c r="AM40" s="69"/>
      <c r="AN40" s="69"/>
      <c r="AO40" s="69"/>
    </row>
    <row r="41" spans="26:41" x14ac:dyDescent="0.25">
      <c r="AE41" s="78" t="s">
        <v>353</v>
      </c>
      <c r="AF41" s="72">
        <v>84</v>
      </c>
      <c r="AG41" s="72">
        <v>84</v>
      </c>
      <c r="AH41" s="72">
        <v>86</v>
      </c>
      <c r="AI41" s="72">
        <v>96</v>
      </c>
      <c r="AJ41" s="72">
        <v>79</v>
      </c>
      <c r="AK41" s="72">
        <v>78</v>
      </c>
      <c r="AL41" s="72">
        <v>78</v>
      </c>
      <c r="AM41" s="72">
        <v>80</v>
      </c>
      <c r="AN41" s="72">
        <v>76</v>
      </c>
      <c r="AO41" s="72">
        <v>76</v>
      </c>
    </row>
    <row r="42" spans="26:41" x14ac:dyDescent="0.25">
      <c r="AE42" s="78" t="s">
        <v>354</v>
      </c>
      <c r="AF42" s="72">
        <v>835</v>
      </c>
      <c r="AG42" s="72">
        <v>830</v>
      </c>
      <c r="AH42" s="72">
        <v>845</v>
      </c>
      <c r="AI42" s="72">
        <v>948</v>
      </c>
      <c r="AJ42" s="72">
        <v>766</v>
      </c>
      <c r="AK42" s="72">
        <v>736</v>
      </c>
      <c r="AL42" s="72">
        <v>734</v>
      </c>
      <c r="AM42" s="72">
        <v>755</v>
      </c>
      <c r="AN42" s="72">
        <v>715</v>
      </c>
      <c r="AO42" s="72">
        <v>727</v>
      </c>
    </row>
    <row r="43" spans="26:41" x14ac:dyDescent="0.25">
      <c r="AE43" s="78" t="s">
        <v>355</v>
      </c>
      <c r="AF43" s="72">
        <v>916</v>
      </c>
      <c r="AG43" s="72">
        <v>912</v>
      </c>
      <c r="AH43" s="72">
        <v>946</v>
      </c>
      <c r="AI43" s="71">
        <v>1063</v>
      </c>
      <c r="AJ43" s="72">
        <v>873</v>
      </c>
      <c r="AK43" s="72">
        <v>852</v>
      </c>
      <c r="AL43" s="72">
        <v>861</v>
      </c>
      <c r="AM43" s="72">
        <v>892</v>
      </c>
      <c r="AN43" s="72">
        <v>840</v>
      </c>
      <c r="AO43" s="72">
        <v>874</v>
      </c>
    </row>
    <row r="44" spans="26:41" x14ac:dyDescent="0.25">
      <c r="AE44" s="78" t="s">
        <v>356</v>
      </c>
      <c r="AF44" s="71">
        <v>1198</v>
      </c>
      <c r="AG44" s="71">
        <v>1191</v>
      </c>
      <c r="AH44" s="71">
        <v>1218</v>
      </c>
      <c r="AI44" s="71">
        <v>1381</v>
      </c>
      <c r="AJ44" s="71">
        <v>1126</v>
      </c>
      <c r="AK44" s="71">
        <v>1094</v>
      </c>
      <c r="AL44" s="71">
        <v>1093</v>
      </c>
      <c r="AM44" s="71">
        <v>1118</v>
      </c>
      <c r="AN44" s="71">
        <v>1051</v>
      </c>
      <c r="AO44" s="71">
        <v>1070</v>
      </c>
    </row>
    <row r="45" spans="26:41" x14ac:dyDescent="0.25">
      <c r="AE45" s="76"/>
      <c r="AF45" s="69"/>
      <c r="AG45" s="69"/>
      <c r="AH45" s="69"/>
      <c r="AI45" s="69"/>
      <c r="AJ45" s="69"/>
      <c r="AK45" s="69"/>
      <c r="AL45" s="69"/>
      <c r="AM45" s="69"/>
      <c r="AN45" s="69"/>
      <c r="AO45" s="69"/>
    </row>
    <row r="46" spans="26:41" x14ac:dyDescent="0.25">
      <c r="AE46" s="78" t="s">
        <v>357</v>
      </c>
      <c r="AF46" s="69"/>
      <c r="AG46" s="69"/>
      <c r="AH46" s="69"/>
      <c r="AI46" s="69"/>
      <c r="AJ46" s="69"/>
      <c r="AK46" s="69"/>
      <c r="AL46" s="69"/>
      <c r="AM46" s="69"/>
      <c r="AN46" s="69"/>
      <c r="AO46" s="69"/>
    </row>
    <row r="47" spans="26:41" x14ac:dyDescent="0.25">
      <c r="AE47" s="207" t="s">
        <v>358</v>
      </c>
      <c r="AF47" s="208"/>
      <c r="AG47" s="208"/>
      <c r="AH47" s="209"/>
      <c r="AI47" s="69"/>
      <c r="AJ47" s="69"/>
      <c r="AK47" s="69"/>
      <c r="AL47" s="69"/>
      <c r="AM47" s="69"/>
      <c r="AN47" s="69"/>
      <c r="AO47" s="69"/>
    </row>
    <row r="48" spans="26:41" x14ac:dyDescent="0.25">
      <c r="AE48" s="78" t="s">
        <v>359</v>
      </c>
      <c r="AF48" s="69"/>
      <c r="AG48" s="69"/>
      <c r="AH48" s="69"/>
      <c r="AI48" s="69"/>
      <c r="AJ48" s="69"/>
      <c r="AK48" s="69"/>
      <c r="AL48" s="69"/>
      <c r="AM48" s="69"/>
      <c r="AN48" s="69"/>
      <c r="AO48" s="69"/>
    </row>
    <row r="49" spans="31:41" x14ac:dyDescent="0.25">
      <c r="AE49" s="207" t="s">
        <v>360</v>
      </c>
      <c r="AF49" s="208"/>
      <c r="AG49" s="209"/>
      <c r="AH49" s="69"/>
      <c r="AI49" s="69"/>
      <c r="AJ49" s="69"/>
      <c r="AK49" s="69"/>
      <c r="AL49" s="69"/>
      <c r="AM49" s="69"/>
      <c r="AN49" s="69"/>
      <c r="AO49" s="69"/>
    </row>
    <row r="50" spans="31:41" x14ac:dyDescent="0.25">
      <c r="AE50" s="207" t="s">
        <v>361</v>
      </c>
      <c r="AF50" s="208"/>
      <c r="AG50" s="208"/>
      <c r="AH50" s="208"/>
      <c r="AI50" s="209"/>
      <c r="AJ50" s="69"/>
      <c r="AK50" s="69"/>
      <c r="AL50" s="69"/>
      <c r="AM50" s="69"/>
      <c r="AN50" s="69"/>
      <c r="AO50" s="69"/>
    </row>
    <row r="51" spans="31:41" x14ac:dyDescent="0.25">
      <c r="AE51" s="76"/>
      <c r="AF51" s="69"/>
      <c r="AG51" s="69"/>
      <c r="AH51" s="69"/>
      <c r="AI51" s="69"/>
      <c r="AJ51" s="69"/>
      <c r="AK51" s="69"/>
      <c r="AL51" s="69"/>
      <c r="AM51" s="69"/>
      <c r="AN51" s="69"/>
      <c r="AO51" s="69"/>
    </row>
    <row r="52" spans="31:41" x14ac:dyDescent="0.25">
      <c r="AE52" s="76"/>
      <c r="AF52" s="69"/>
      <c r="AG52" s="69"/>
      <c r="AH52" s="69"/>
      <c r="AI52" s="69"/>
      <c r="AJ52" s="69"/>
      <c r="AK52" s="69"/>
      <c r="AL52" s="69"/>
      <c r="AM52" s="210" t="s">
        <v>362</v>
      </c>
      <c r="AN52" s="211"/>
      <c r="AO52" s="212"/>
    </row>
  </sheetData>
  <mergeCells count="4">
    <mergeCell ref="AE47:AH47"/>
    <mergeCell ref="AE49:AG49"/>
    <mergeCell ref="AE50:AI50"/>
    <mergeCell ref="AM52:AO52"/>
  </mergeCells>
  <hyperlinks>
    <hyperlink ref="AI1" r:id="rId1" display="https://cdan.nhtsa.gov/tsftables/National Statistics.pdf" xr:uid="{5370E297-4EFE-46D2-95A0-B7076CB53D2E}"/>
    <hyperlink ref="A1" r:id="rId2" display="https://crashstats.nhtsa.dot.gov/Api/Public/ViewPublication/813376" xr:uid="{96E5F144-16C0-4A78-8ED2-98E616F1DDC3}"/>
    <hyperlink ref="Q1" r:id="rId3" display="https://crashstats.nhtsa.dot.gov/Api/Public/ViewPublication/813369" xr:uid="{9701C4C2-DBD2-41E1-B041-2FBB1AC99F7B}"/>
  </hyperlinks>
  <pageMargins left="0.7" right="0.7" top="0.75" bottom="0.75" header="0.3" footer="0.3"/>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3FFF5-F53E-4A37-BCFA-3B0B164FBB98}">
  <sheetPr>
    <tabColor rgb="FF7030A0"/>
  </sheetPr>
  <dimension ref="A1:AH22"/>
  <sheetViews>
    <sheetView topLeftCell="B6" workbookViewId="0">
      <selection activeCell="E25" sqref="E25"/>
    </sheetView>
  </sheetViews>
  <sheetFormatPr defaultRowHeight="15" x14ac:dyDescent="0.25"/>
  <cols>
    <col min="1" max="1" width="13.42578125" customWidth="1"/>
    <col min="2" max="2" width="14.28515625" customWidth="1"/>
    <col min="3" max="7" width="13.7109375" customWidth="1"/>
    <col min="8" max="8" width="12.5703125" bestFit="1" customWidth="1"/>
    <col min="9" max="9" width="18.42578125" customWidth="1"/>
    <col min="10" max="10" width="12.5703125" bestFit="1" customWidth="1"/>
    <col min="14" max="14" width="13.7109375" bestFit="1" customWidth="1"/>
  </cols>
  <sheetData>
    <row r="1" spans="1:14" x14ac:dyDescent="0.25">
      <c r="D1" t="s">
        <v>179</v>
      </c>
    </row>
    <row r="2" spans="1:14" x14ac:dyDescent="0.25">
      <c r="B2" s="28" t="s">
        <v>363</v>
      </c>
      <c r="C2" s="29">
        <v>30000</v>
      </c>
      <c r="D2" t="s">
        <v>364</v>
      </c>
    </row>
    <row r="3" spans="1:14" x14ac:dyDescent="0.25">
      <c r="B3" s="28" t="s">
        <v>365</v>
      </c>
      <c r="C3" s="30">
        <v>98.398016212232861</v>
      </c>
      <c r="D3" t="s">
        <v>366</v>
      </c>
    </row>
    <row r="4" spans="1:14" x14ac:dyDescent="0.25">
      <c r="B4" s="28" t="s">
        <v>367</v>
      </c>
      <c r="C4" s="104">
        <v>0</v>
      </c>
      <c r="D4" t="s">
        <v>368</v>
      </c>
    </row>
    <row r="5" spans="1:14" ht="15.75" thickBot="1" x14ac:dyDescent="0.3">
      <c r="B5" s="28" t="s">
        <v>369</v>
      </c>
      <c r="C5" s="23">
        <v>0.8</v>
      </c>
      <c r="I5" t="s">
        <v>370</v>
      </c>
    </row>
    <row r="6" spans="1:14" s="6" customFormat="1" ht="45" x14ac:dyDescent="0.25">
      <c r="B6" s="31" t="s">
        <v>371</v>
      </c>
      <c r="C6" s="195" t="s">
        <v>372</v>
      </c>
      <c r="D6" s="31" t="s">
        <v>373</v>
      </c>
      <c r="E6" s="31" t="s">
        <v>374</v>
      </c>
      <c r="F6" s="31" t="s">
        <v>375</v>
      </c>
      <c r="G6" s="31" t="s">
        <v>376</v>
      </c>
      <c r="H6" s="31"/>
      <c r="I6" s="35" t="s">
        <v>377</v>
      </c>
      <c r="J6" s="36" t="s">
        <v>378</v>
      </c>
      <c r="K6" s="37"/>
      <c r="L6" s="38"/>
    </row>
    <row r="7" spans="1:14" x14ac:dyDescent="0.25">
      <c r="A7" s="198"/>
      <c r="B7" s="3">
        <v>1</v>
      </c>
      <c r="C7" s="196">
        <v>0.15</v>
      </c>
      <c r="D7" s="32">
        <f>+C7*$C$2</f>
        <v>4500</v>
      </c>
      <c r="E7" s="32">
        <f>+D7</f>
        <v>4500</v>
      </c>
      <c r="F7" s="32">
        <f>+E7*$C$3</f>
        <v>442791.07295504789</v>
      </c>
      <c r="G7" s="33">
        <f>+E7*$C$4</f>
        <v>0</v>
      </c>
      <c r="I7" s="39">
        <v>0</v>
      </c>
      <c r="J7" s="40">
        <f>1+I7</f>
        <v>1</v>
      </c>
      <c r="L7" s="41"/>
      <c r="N7" s="53"/>
    </row>
    <row r="8" spans="1:14" x14ac:dyDescent="0.25">
      <c r="A8" s="198"/>
      <c r="B8" s="3">
        <f>1+B7</f>
        <v>2</v>
      </c>
      <c r="C8" s="196">
        <v>0.25</v>
      </c>
      <c r="D8" s="32">
        <f t="shared" ref="D8:D12" si="0">+C8*$C$2</f>
        <v>7500</v>
      </c>
      <c r="E8" s="32">
        <f>+D8+E7</f>
        <v>12000</v>
      </c>
      <c r="F8" s="32">
        <f t="shared" ref="F8:F11" si="1">+E8*$C$3</f>
        <v>1180776.1945467943</v>
      </c>
      <c r="G8" s="33">
        <f t="shared" ref="G8:G13" si="2">+E8*$C$4</f>
        <v>0</v>
      </c>
      <c r="I8" s="39">
        <v>0</v>
      </c>
      <c r="J8" s="40">
        <f t="shared" ref="J8:J12" si="3">1+I8</f>
        <v>1</v>
      </c>
      <c r="L8" s="41"/>
      <c r="N8" s="53"/>
    </row>
    <row r="9" spans="1:14" x14ac:dyDescent="0.25">
      <c r="A9" s="198"/>
      <c r="B9" s="3">
        <f t="shared" ref="B9:B11" si="4">1+B8</f>
        <v>3</v>
      </c>
      <c r="C9" s="196">
        <v>0.2</v>
      </c>
      <c r="D9" s="32">
        <f t="shared" si="0"/>
        <v>6000</v>
      </c>
      <c r="E9" s="32">
        <f t="shared" ref="E9:E11" si="5">+D9+E8</f>
        <v>18000</v>
      </c>
      <c r="F9" s="32">
        <f t="shared" si="1"/>
        <v>1771164.2918201915</v>
      </c>
      <c r="G9" s="33">
        <f t="shared" si="2"/>
        <v>0</v>
      </c>
      <c r="I9" s="39">
        <f>(F9-F8)/F8</f>
        <v>0.50000000000000011</v>
      </c>
      <c r="J9" s="40">
        <f t="shared" si="3"/>
        <v>1.5</v>
      </c>
      <c r="L9" s="41"/>
      <c r="N9" s="53"/>
    </row>
    <row r="10" spans="1:14" x14ac:dyDescent="0.25">
      <c r="A10" s="198"/>
      <c r="B10" s="3">
        <f t="shared" si="4"/>
        <v>4</v>
      </c>
      <c r="C10" s="196">
        <v>0.1</v>
      </c>
      <c r="D10" s="32">
        <f t="shared" si="0"/>
        <v>3000</v>
      </c>
      <c r="E10" s="32">
        <f t="shared" si="5"/>
        <v>21000</v>
      </c>
      <c r="F10" s="32">
        <f t="shared" si="1"/>
        <v>2066358.3404568902</v>
      </c>
      <c r="G10" s="33">
        <f t="shared" si="2"/>
        <v>0</v>
      </c>
      <c r="I10" s="39">
        <f t="shared" ref="I10:I11" si="6">(F10-F9)/F9</f>
        <v>0.16666666666666669</v>
      </c>
      <c r="J10" s="40">
        <f t="shared" si="3"/>
        <v>1.1666666666666667</v>
      </c>
      <c r="L10" s="41"/>
      <c r="N10" s="53"/>
    </row>
    <row r="11" spans="1:14" x14ac:dyDescent="0.25">
      <c r="A11" s="198"/>
      <c r="B11" s="3">
        <f t="shared" si="4"/>
        <v>5</v>
      </c>
      <c r="C11" s="196">
        <v>0.1</v>
      </c>
      <c r="D11" s="32">
        <f t="shared" si="0"/>
        <v>3000</v>
      </c>
      <c r="E11" s="32">
        <f t="shared" si="5"/>
        <v>24000</v>
      </c>
      <c r="F11" s="32">
        <f t="shared" si="1"/>
        <v>2361552.3890935886</v>
      </c>
      <c r="G11" s="33">
        <f t="shared" si="2"/>
        <v>0</v>
      </c>
      <c r="I11" s="39">
        <f t="shared" si="6"/>
        <v>0.14285714285714277</v>
      </c>
      <c r="J11" s="40">
        <f t="shared" si="3"/>
        <v>1.1428571428571428</v>
      </c>
      <c r="L11" s="41"/>
      <c r="N11" s="53"/>
    </row>
    <row r="12" spans="1:14" ht="15.75" thickBot="1" x14ac:dyDescent="0.3">
      <c r="A12" s="198"/>
      <c r="B12" s="3">
        <v>6</v>
      </c>
      <c r="C12" s="197">
        <f>SUM(C7:C11)</f>
        <v>0.8</v>
      </c>
      <c r="D12" s="32">
        <f t="shared" si="0"/>
        <v>24000</v>
      </c>
      <c r="E12" s="32"/>
      <c r="F12" s="32">
        <f t="shared" ref="F12:F13" si="7">+E12*$C$3</f>
        <v>0</v>
      </c>
      <c r="G12" s="33">
        <f t="shared" si="2"/>
        <v>0</v>
      </c>
      <c r="I12" s="42">
        <v>0</v>
      </c>
      <c r="J12" s="43">
        <f t="shared" si="3"/>
        <v>1</v>
      </c>
      <c r="K12" s="44" t="s">
        <v>379</v>
      </c>
      <c r="L12" s="45"/>
    </row>
    <row r="13" spans="1:14" x14ac:dyDescent="0.25">
      <c r="B13">
        <v>7</v>
      </c>
      <c r="C13" s="22">
        <v>1</v>
      </c>
      <c r="D13" s="32">
        <f t="shared" ref="D13" si="8">+C13*$C$2</f>
        <v>30000</v>
      </c>
      <c r="E13" s="32">
        <f>C2</f>
        <v>30000</v>
      </c>
      <c r="F13" s="32">
        <f t="shared" si="7"/>
        <v>2951940.4863669858</v>
      </c>
      <c r="G13" s="33">
        <f t="shared" si="2"/>
        <v>0</v>
      </c>
    </row>
    <row r="16" spans="1:14" x14ac:dyDescent="0.25">
      <c r="A16" s="60"/>
      <c r="B16" s="61" t="s">
        <v>380</v>
      </c>
      <c r="C16" s="62">
        <v>296.22008474576268</v>
      </c>
    </row>
    <row r="18" spans="1:34" x14ac:dyDescent="0.25">
      <c r="F18" t="s">
        <v>161</v>
      </c>
    </row>
    <row r="19" spans="1:34" x14ac:dyDescent="0.25">
      <c r="C19">
        <v>2025</v>
      </c>
      <c r="D19">
        <v>2026</v>
      </c>
      <c r="E19">
        <v>2027</v>
      </c>
      <c r="F19">
        <v>2028</v>
      </c>
      <c r="G19">
        <v>2029</v>
      </c>
      <c r="H19">
        <v>2030</v>
      </c>
      <c r="I19">
        <v>2031</v>
      </c>
      <c r="J19">
        <v>2032</v>
      </c>
      <c r="K19">
        <v>2033</v>
      </c>
      <c r="L19">
        <v>2034</v>
      </c>
      <c r="M19">
        <v>2035</v>
      </c>
      <c r="N19">
        <v>2036</v>
      </c>
      <c r="O19">
        <v>2037</v>
      </c>
      <c r="P19">
        <v>2038</v>
      </c>
      <c r="Q19">
        <v>2039</v>
      </c>
      <c r="R19">
        <v>2040</v>
      </c>
      <c r="S19">
        <v>2041</v>
      </c>
      <c r="T19">
        <v>2042</v>
      </c>
      <c r="U19">
        <v>2043</v>
      </c>
      <c r="V19">
        <v>2044</v>
      </c>
      <c r="W19">
        <v>2045</v>
      </c>
      <c r="X19">
        <v>2046</v>
      </c>
      <c r="Y19">
        <v>2047</v>
      </c>
      <c r="Z19">
        <v>2048</v>
      </c>
      <c r="AA19">
        <v>2049</v>
      </c>
      <c r="AB19">
        <v>2050</v>
      </c>
      <c r="AC19">
        <v>2051</v>
      </c>
      <c r="AD19">
        <v>2052</v>
      </c>
      <c r="AE19">
        <v>2053</v>
      </c>
      <c r="AF19">
        <v>2054</v>
      </c>
      <c r="AG19">
        <v>2055</v>
      </c>
    </row>
    <row r="20" spans="1:34" x14ac:dyDescent="0.25">
      <c r="A20" s="32">
        <f>SUM(C20:AG20)</f>
        <v>799500</v>
      </c>
      <c r="B20" s="32">
        <f>AVERAGE(C20:AG20)</f>
        <v>25790.322580645163</v>
      </c>
      <c r="C20" s="32">
        <v>0</v>
      </c>
      <c r="D20" s="32">
        <v>0</v>
      </c>
      <c r="E20" s="32">
        <f>E7</f>
        <v>4500</v>
      </c>
      <c r="F20" s="32">
        <f>E8</f>
        <v>12000</v>
      </c>
      <c r="G20" s="32">
        <f>E9</f>
        <v>18000</v>
      </c>
      <c r="H20" s="32">
        <f>E10</f>
        <v>21000</v>
      </c>
      <c r="I20" s="32">
        <f>E11</f>
        <v>24000</v>
      </c>
      <c r="J20" s="32">
        <f>E13</f>
        <v>30000</v>
      </c>
      <c r="K20" s="32">
        <f t="shared" ref="K20:AG20" si="9">J20</f>
        <v>30000</v>
      </c>
      <c r="L20" s="32">
        <f t="shared" si="9"/>
        <v>30000</v>
      </c>
      <c r="M20" s="32">
        <f t="shared" si="9"/>
        <v>30000</v>
      </c>
      <c r="N20" s="32">
        <f t="shared" si="9"/>
        <v>30000</v>
      </c>
      <c r="O20" s="32">
        <f t="shared" si="9"/>
        <v>30000</v>
      </c>
      <c r="P20" s="32">
        <f t="shared" si="9"/>
        <v>30000</v>
      </c>
      <c r="Q20" s="32">
        <f t="shared" si="9"/>
        <v>30000</v>
      </c>
      <c r="R20" s="32">
        <f t="shared" si="9"/>
        <v>30000</v>
      </c>
      <c r="S20" s="32">
        <f t="shared" si="9"/>
        <v>30000</v>
      </c>
      <c r="T20" s="32">
        <f t="shared" si="9"/>
        <v>30000</v>
      </c>
      <c r="U20" s="32">
        <f t="shared" si="9"/>
        <v>30000</v>
      </c>
      <c r="V20" s="32">
        <f t="shared" si="9"/>
        <v>30000</v>
      </c>
      <c r="W20" s="32">
        <f t="shared" si="9"/>
        <v>30000</v>
      </c>
      <c r="X20" s="32">
        <f t="shared" si="9"/>
        <v>30000</v>
      </c>
      <c r="Y20" s="32">
        <f t="shared" si="9"/>
        <v>30000</v>
      </c>
      <c r="Z20" s="32">
        <f t="shared" si="9"/>
        <v>30000</v>
      </c>
      <c r="AA20" s="32">
        <f t="shared" si="9"/>
        <v>30000</v>
      </c>
      <c r="AB20" s="32">
        <f t="shared" si="9"/>
        <v>30000</v>
      </c>
      <c r="AC20" s="32">
        <f t="shared" si="9"/>
        <v>30000</v>
      </c>
      <c r="AD20" s="32">
        <f t="shared" si="9"/>
        <v>30000</v>
      </c>
      <c r="AE20" s="32">
        <f t="shared" si="9"/>
        <v>30000</v>
      </c>
      <c r="AF20" s="32">
        <f t="shared" si="9"/>
        <v>30000</v>
      </c>
      <c r="AG20" s="32">
        <f t="shared" si="9"/>
        <v>30000</v>
      </c>
      <c r="AH20" s="32"/>
    </row>
    <row r="21" spans="1:34" x14ac:dyDescent="0.25">
      <c r="A21" s="32">
        <f>SUM(C21:AG21)</f>
        <v>78669213.961680189</v>
      </c>
      <c r="B21" s="32">
        <f>AVERAGE(C21:AG21)</f>
        <v>2537716.5794090382</v>
      </c>
      <c r="C21">
        <f>C20*$C$3</f>
        <v>0</v>
      </c>
      <c r="D21">
        <f t="shared" ref="D21:AG21" si="10">D20*$C$3</f>
        <v>0</v>
      </c>
      <c r="E21" s="80">
        <f t="shared" si="10"/>
        <v>442791.07295504789</v>
      </c>
      <c r="F21" s="80">
        <f t="shared" si="10"/>
        <v>1180776.1945467943</v>
      </c>
      <c r="G21" s="80">
        <f t="shared" si="10"/>
        <v>1771164.2918201915</v>
      </c>
      <c r="H21" s="80">
        <f t="shared" si="10"/>
        <v>2066358.3404568902</v>
      </c>
      <c r="I21" s="204">
        <f t="shared" si="10"/>
        <v>2361552.3890935886</v>
      </c>
      <c r="J21" s="80">
        <f t="shared" si="10"/>
        <v>2951940.4863669858</v>
      </c>
      <c r="K21">
        <f t="shared" si="10"/>
        <v>2951940.4863669858</v>
      </c>
      <c r="L21">
        <f t="shared" si="10"/>
        <v>2951940.4863669858</v>
      </c>
      <c r="M21">
        <f t="shared" si="10"/>
        <v>2951940.4863669858</v>
      </c>
      <c r="N21">
        <f t="shared" si="10"/>
        <v>2951940.4863669858</v>
      </c>
      <c r="O21">
        <f t="shared" si="10"/>
        <v>2951940.4863669858</v>
      </c>
      <c r="P21">
        <f t="shared" si="10"/>
        <v>2951940.4863669858</v>
      </c>
      <c r="Q21">
        <f t="shared" si="10"/>
        <v>2951940.4863669858</v>
      </c>
      <c r="R21">
        <f t="shared" si="10"/>
        <v>2951940.4863669858</v>
      </c>
      <c r="S21">
        <f t="shared" si="10"/>
        <v>2951940.4863669858</v>
      </c>
      <c r="T21">
        <f t="shared" si="10"/>
        <v>2951940.4863669858</v>
      </c>
      <c r="U21">
        <f t="shared" si="10"/>
        <v>2951940.4863669858</v>
      </c>
      <c r="V21">
        <f t="shared" si="10"/>
        <v>2951940.4863669858</v>
      </c>
      <c r="W21">
        <f t="shared" si="10"/>
        <v>2951940.4863669858</v>
      </c>
      <c r="X21">
        <f t="shared" si="10"/>
        <v>2951940.4863669858</v>
      </c>
      <c r="Y21">
        <f t="shared" si="10"/>
        <v>2951940.4863669858</v>
      </c>
      <c r="Z21">
        <f t="shared" si="10"/>
        <v>2951940.4863669858</v>
      </c>
      <c r="AA21">
        <f t="shared" si="10"/>
        <v>2951940.4863669858</v>
      </c>
      <c r="AB21">
        <f t="shared" si="10"/>
        <v>2951940.4863669858</v>
      </c>
      <c r="AC21">
        <f t="shared" si="10"/>
        <v>2951940.4863669858</v>
      </c>
      <c r="AD21">
        <f t="shared" si="10"/>
        <v>2951940.4863669858</v>
      </c>
      <c r="AE21">
        <f t="shared" si="10"/>
        <v>2951940.4863669858</v>
      </c>
      <c r="AF21">
        <f t="shared" si="10"/>
        <v>2951940.4863669858</v>
      </c>
      <c r="AG21">
        <f t="shared" si="10"/>
        <v>2951940.4863669858</v>
      </c>
    </row>
    <row r="22" spans="1:34" x14ac:dyDescent="0.25">
      <c r="A22" s="32">
        <f>SUM(C22:AG22)</f>
        <v>799500</v>
      </c>
      <c r="B22" s="32">
        <f>AVERAGE(C22:AG22)</f>
        <v>25790.322580645163</v>
      </c>
      <c r="C22" s="32">
        <v>0</v>
      </c>
      <c r="D22" s="32">
        <v>0</v>
      </c>
      <c r="E22" s="32">
        <f t="shared" ref="E22:AG22" si="11">E20</f>
        <v>4500</v>
      </c>
      <c r="F22" s="32">
        <f t="shared" si="11"/>
        <v>12000</v>
      </c>
      <c r="G22" s="32">
        <f t="shared" si="11"/>
        <v>18000</v>
      </c>
      <c r="H22" s="32">
        <f t="shared" si="11"/>
        <v>21000</v>
      </c>
      <c r="I22" s="32">
        <f t="shared" si="11"/>
        <v>24000</v>
      </c>
      <c r="J22" s="32">
        <f t="shared" si="11"/>
        <v>30000</v>
      </c>
      <c r="K22" s="32">
        <f t="shared" si="11"/>
        <v>30000</v>
      </c>
      <c r="L22" s="32">
        <f t="shared" si="11"/>
        <v>30000</v>
      </c>
      <c r="M22" s="32">
        <f t="shared" si="11"/>
        <v>30000</v>
      </c>
      <c r="N22" s="32">
        <f t="shared" si="11"/>
        <v>30000</v>
      </c>
      <c r="O22" s="32">
        <f t="shared" si="11"/>
        <v>30000</v>
      </c>
      <c r="P22" s="32">
        <f t="shared" si="11"/>
        <v>30000</v>
      </c>
      <c r="Q22" s="32">
        <f t="shared" si="11"/>
        <v>30000</v>
      </c>
      <c r="R22" s="32">
        <f t="shared" si="11"/>
        <v>30000</v>
      </c>
      <c r="S22" s="32">
        <f t="shared" si="11"/>
        <v>30000</v>
      </c>
      <c r="T22" s="32">
        <f t="shared" si="11"/>
        <v>30000</v>
      </c>
      <c r="U22" s="32">
        <f t="shared" si="11"/>
        <v>30000</v>
      </c>
      <c r="V22" s="32">
        <f t="shared" si="11"/>
        <v>30000</v>
      </c>
      <c r="W22" s="32">
        <f t="shared" si="11"/>
        <v>30000</v>
      </c>
      <c r="X22" s="32">
        <f t="shared" si="11"/>
        <v>30000</v>
      </c>
      <c r="Y22" s="32">
        <f t="shared" si="11"/>
        <v>30000</v>
      </c>
      <c r="Z22" s="32">
        <f t="shared" si="11"/>
        <v>30000</v>
      </c>
      <c r="AA22" s="32">
        <f t="shared" si="11"/>
        <v>30000</v>
      </c>
      <c r="AB22" s="32">
        <f t="shared" si="11"/>
        <v>30000</v>
      </c>
      <c r="AC22" s="32">
        <f t="shared" si="11"/>
        <v>30000</v>
      </c>
      <c r="AD22" s="32">
        <f t="shared" si="11"/>
        <v>30000</v>
      </c>
      <c r="AE22" s="32">
        <f t="shared" si="11"/>
        <v>30000</v>
      </c>
      <c r="AF22" s="32">
        <f t="shared" si="11"/>
        <v>30000</v>
      </c>
      <c r="AG22" s="32">
        <f t="shared" si="11"/>
        <v>30000</v>
      </c>
      <c r="AH22" s="32"/>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9626B9-5933-48BC-BDE8-3FEF28366D46}">
  <dimension ref="A1:AI8"/>
  <sheetViews>
    <sheetView workbookViewId="0">
      <selection activeCell="G8" sqref="G8"/>
    </sheetView>
  </sheetViews>
  <sheetFormatPr defaultRowHeight="15" x14ac:dyDescent="0.25"/>
  <cols>
    <col min="1" max="1" width="27.28515625" customWidth="1"/>
    <col min="2" max="2" width="13.42578125" customWidth="1"/>
    <col min="3" max="35" width="11.5703125" customWidth="1"/>
  </cols>
  <sheetData>
    <row r="1" spans="1:35" x14ac:dyDescent="0.25">
      <c r="A1" s="12" t="s">
        <v>156</v>
      </c>
    </row>
    <row r="3" spans="1:35" s="3" customFormat="1" x14ac:dyDescent="0.25">
      <c r="C3" s="3">
        <v>2022</v>
      </c>
      <c r="D3" s="3">
        <v>2023</v>
      </c>
      <c r="E3" s="3">
        <v>2024</v>
      </c>
      <c r="F3" s="3">
        <v>2025</v>
      </c>
      <c r="G3" s="3">
        <v>2026</v>
      </c>
      <c r="H3" s="3">
        <v>2027</v>
      </c>
      <c r="I3" s="3">
        <v>2028</v>
      </c>
      <c r="J3" s="3">
        <v>2029</v>
      </c>
      <c r="K3" s="3">
        <v>2030</v>
      </c>
      <c r="L3" s="3">
        <v>2031</v>
      </c>
      <c r="M3" s="3">
        <v>2032</v>
      </c>
      <c r="N3" s="3">
        <v>2033</v>
      </c>
      <c r="O3" s="3">
        <v>2034</v>
      </c>
      <c r="P3" s="3">
        <v>2035</v>
      </c>
      <c r="Q3" s="3">
        <v>2036</v>
      </c>
      <c r="R3" s="3">
        <v>2037</v>
      </c>
      <c r="S3" s="3">
        <v>2038</v>
      </c>
      <c r="T3" s="3">
        <v>2039</v>
      </c>
      <c r="U3" s="3">
        <v>2040</v>
      </c>
      <c r="V3" s="3">
        <v>2041</v>
      </c>
      <c r="W3" s="3">
        <v>2042</v>
      </c>
      <c r="X3" s="3">
        <v>2043</v>
      </c>
      <c r="Y3" s="3">
        <v>2044</v>
      </c>
      <c r="Z3" s="3">
        <v>2045</v>
      </c>
      <c r="AA3" s="3">
        <v>2046</v>
      </c>
      <c r="AB3" s="3">
        <v>2047</v>
      </c>
      <c r="AC3" s="3">
        <v>2048</v>
      </c>
      <c r="AD3" s="3">
        <v>2049</v>
      </c>
      <c r="AE3" s="3">
        <v>2050</v>
      </c>
      <c r="AF3" s="3">
        <v>2051</v>
      </c>
      <c r="AG3" s="3">
        <v>2052</v>
      </c>
      <c r="AH3" s="3">
        <v>2053</v>
      </c>
      <c r="AI3" s="3">
        <v>2054</v>
      </c>
    </row>
    <row r="4" spans="1:35" s="3" customFormat="1" x14ac:dyDescent="0.25">
      <c r="A4" s="172" t="s">
        <v>157</v>
      </c>
      <c r="B4" s="173"/>
      <c r="C4" s="173"/>
      <c r="D4" s="173"/>
      <c r="E4" s="173"/>
      <c r="F4" s="173"/>
      <c r="G4" s="173"/>
      <c r="H4" s="173"/>
      <c r="I4" s="173"/>
      <c r="J4" s="173"/>
      <c r="K4" s="173"/>
      <c r="L4" s="173"/>
      <c r="M4" s="173"/>
      <c r="N4" s="173"/>
      <c r="O4" s="173"/>
      <c r="P4" s="173"/>
      <c r="Q4" s="173"/>
      <c r="R4" s="173"/>
      <c r="S4" s="173"/>
      <c r="T4" s="173"/>
      <c r="U4" s="173"/>
      <c r="V4" s="173"/>
      <c r="W4" s="173"/>
      <c r="X4" s="173"/>
      <c r="Y4" s="173"/>
      <c r="Z4" s="173"/>
      <c r="AA4" s="173"/>
      <c r="AB4" s="173"/>
      <c r="AC4" s="173"/>
      <c r="AD4" s="173"/>
      <c r="AE4" s="173"/>
      <c r="AF4" s="173"/>
      <c r="AG4" s="173"/>
      <c r="AH4" s="173"/>
      <c r="AI4" s="173"/>
    </row>
    <row r="5" spans="1:35" x14ac:dyDescent="0.25">
      <c r="A5" t="s">
        <v>158</v>
      </c>
      <c r="C5" s="80">
        <v>-16811.231818181819</v>
      </c>
      <c r="D5" s="80">
        <v>-17652.515151515152</v>
      </c>
      <c r="E5" s="80">
        <v>-18535.78787878788</v>
      </c>
      <c r="F5" s="80">
        <v>-19463.28787878788</v>
      </c>
      <c r="G5" s="80">
        <v>-20437.348484848488</v>
      </c>
      <c r="H5" s="80">
        <v>-21459.348484848488</v>
      </c>
      <c r="I5" s="80">
        <v>-21680.150988813908</v>
      </c>
      <c r="J5" s="80">
        <v>-21680.150988813908</v>
      </c>
      <c r="K5" s="80">
        <v>-21680.150988813908</v>
      </c>
      <c r="L5" s="80">
        <v>-21680.150988813908</v>
      </c>
      <c r="M5" s="80">
        <v>-21680.150988813908</v>
      </c>
      <c r="N5" s="80">
        <v>-21680.150988813908</v>
      </c>
      <c r="O5" s="80">
        <v>-21680.150988813908</v>
      </c>
      <c r="P5" s="80">
        <v>-21680.150988813908</v>
      </c>
      <c r="Q5" s="80">
        <v>-21680.150988813908</v>
      </c>
      <c r="R5" s="80">
        <v>-21680.150988813908</v>
      </c>
      <c r="S5" s="80">
        <v>-21680.150988813908</v>
      </c>
      <c r="T5" s="80">
        <v>-21680.150988813908</v>
      </c>
      <c r="U5" s="80">
        <v>-21680.150988813908</v>
      </c>
      <c r="V5" s="80">
        <v>-21680.150988813908</v>
      </c>
      <c r="W5" s="80">
        <v>-21680.150988813908</v>
      </c>
      <c r="X5" s="80">
        <v>-21680.150988813908</v>
      </c>
      <c r="Y5" s="80">
        <v>-21680.150988813908</v>
      </c>
      <c r="Z5" s="80">
        <v>-21680.150988813908</v>
      </c>
      <c r="AA5" s="80">
        <v>-21680.150988813908</v>
      </c>
      <c r="AB5" s="80">
        <v>-21680.150988813908</v>
      </c>
      <c r="AC5" s="80">
        <v>-21680.150988813908</v>
      </c>
      <c r="AD5" s="80">
        <v>-21680.150988813908</v>
      </c>
      <c r="AE5" s="80">
        <v>-21680.150988813908</v>
      </c>
      <c r="AF5" s="80">
        <v>-21680.150988813908</v>
      </c>
      <c r="AG5" s="80">
        <v>-21680.150988813908</v>
      </c>
      <c r="AH5" s="80">
        <v>-21680.150988813908</v>
      </c>
      <c r="AI5" s="80">
        <v>-21680.150988813908</v>
      </c>
    </row>
    <row r="6" spans="1:35" x14ac:dyDescent="0.25">
      <c r="A6" t="s">
        <v>159</v>
      </c>
      <c r="C6" s="46">
        <v>9659.0909090909081</v>
      </c>
      <c r="D6" s="46">
        <v>9659.0909090909081</v>
      </c>
      <c r="E6" s="46">
        <v>9659.0909090909081</v>
      </c>
      <c r="F6" s="46">
        <v>9659.0909090909081</v>
      </c>
      <c r="G6" s="46">
        <v>9659.0909090909081</v>
      </c>
      <c r="H6" s="46">
        <v>9659.0909090909081</v>
      </c>
      <c r="I6" s="46">
        <v>9659.0909090909081</v>
      </c>
      <c r="J6" s="46">
        <v>9659.0909090909081</v>
      </c>
      <c r="K6" s="46">
        <v>9659.0909090909081</v>
      </c>
      <c r="L6" s="46">
        <v>9659.0909090909081</v>
      </c>
      <c r="M6" s="46">
        <v>9659.0909090909081</v>
      </c>
      <c r="N6" s="46">
        <v>9659.0909090909081</v>
      </c>
      <c r="O6" s="46">
        <v>9659.0909090909081</v>
      </c>
      <c r="P6" s="46">
        <v>9659.0909090909081</v>
      </c>
      <c r="Q6" s="46">
        <v>9659.0909090909081</v>
      </c>
      <c r="R6" s="46">
        <v>9659.0909090909081</v>
      </c>
      <c r="S6" s="46">
        <v>9659.0909090909081</v>
      </c>
      <c r="T6" s="46">
        <v>9659.0909090909081</v>
      </c>
      <c r="U6" s="46">
        <v>9659.0909090909081</v>
      </c>
      <c r="V6" s="46">
        <v>9659.0909090909081</v>
      </c>
      <c r="W6" s="46">
        <v>9659.0909090909081</v>
      </c>
      <c r="X6" s="46">
        <v>9659.0909090909081</v>
      </c>
      <c r="Y6" s="46">
        <v>9659.0909090909081</v>
      </c>
      <c r="Z6" s="46">
        <v>9659.0909090909081</v>
      </c>
      <c r="AA6" s="46">
        <v>9659.0909090909081</v>
      </c>
      <c r="AB6" s="46">
        <v>9659.0909090909081</v>
      </c>
      <c r="AC6" s="46">
        <v>9659.0909090909081</v>
      </c>
      <c r="AD6" s="46">
        <v>9659.0909090909081</v>
      </c>
      <c r="AE6" s="46">
        <v>9659.0909090909081</v>
      </c>
      <c r="AF6" s="46">
        <v>9659.0909090909081</v>
      </c>
      <c r="AG6" s="46">
        <v>9659.0909090909081</v>
      </c>
      <c r="AH6" s="46">
        <v>9659.0909090909081</v>
      </c>
      <c r="AI6" s="46">
        <v>9659.0909090909081</v>
      </c>
    </row>
    <row r="8" spans="1:35" x14ac:dyDescent="0.25">
      <c r="A8" t="s">
        <v>72</v>
      </c>
      <c r="B8" s="46">
        <v>-11544.654436210471</v>
      </c>
      <c r="C8" s="46">
        <v>-7152.140909090911</v>
      </c>
      <c r="D8" s="46">
        <v>-7993.4242424242439</v>
      </c>
      <c r="E8" s="46">
        <v>-8876.6969696969718</v>
      </c>
      <c r="F8" s="46">
        <v>-9804.1969696969718</v>
      </c>
      <c r="G8" s="46">
        <v>-10778.25757575758</v>
      </c>
      <c r="H8" s="46">
        <v>-11800.25757575758</v>
      </c>
      <c r="I8" s="46">
        <v>-12021.060079723</v>
      </c>
      <c r="J8" s="46">
        <v>-12021.060079723</v>
      </c>
      <c r="K8" s="46">
        <v>-12021.060079723</v>
      </c>
      <c r="L8" s="46">
        <v>-12021.060079723</v>
      </c>
      <c r="M8" s="46">
        <v>-12021.060079723</v>
      </c>
      <c r="N8" s="46">
        <v>-12021.060079723</v>
      </c>
      <c r="O8" s="46">
        <v>-12021.060079723</v>
      </c>
      <c r="P8" s="46">
        <v>-12021.060079723</v>
      </c>
      <c r="Q8" s="46">
        <v>-12021.060079723</v>
      </c>
      <c r="R8" s="46">
        <v>-12021.060079723</v>
      </c>
      <c r="S8" s="46">
        <v>-12021.060079723</v>
      </c>
      <c r="T8" s="46">
        <v>-12021.060079723</v>
      </c>
      <c r="U8" s="46">
        <v>-12021.060079723</v>
      </c>
      <c r="V8" s="46">
        <v>-12021.060079723</v>
      </c>
      <c r="W8" s="46">
        <v>-12021.060079723</v>
      </c>
      <c r="X8" s="46">
        <v>-12021.060079723</v>
      </c>
      <c r="Y8" s="46">
        <v>-12021.060079723</v>
      </c>
      <c r="Z8" s="46">
        <v>-12021.060079723</v>
      </c>
      <c r="AA8" s="46">
        <v>-12021.060079723</v>
      </c>
      <c r="AB8" s="46">
        <v>-12021.060079723</v>
      </c>
      <c r="AC8" s="46">
        <v>-12021.060079723</v>
      </c>
      <c r="AD8" s="46">
        <v>-12021.060079723</v>
      </c>
      <c r="AE8" s="46">
        <v>-12021.060079723</v>
      </c>
      <c r="AF8" s="46">
        <v>-12021.060079723</v>
      </c>
      <c r="AG8" s="46">
        <v>-12021.060079723</v>
      </c>
      <c r="AH8" s="46">
        <v>-12021.060079723</v>
      </c>
      <c r="AI8" s="46">
        <v>-12021.060079723</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9F0DFA-D1B0-42EB-807F-4B27A4A102DC}">
  <sheetPr>
    <tabColor rgb="FF7030A0"/>
  </sheetPr>
  <dimension ref="A1:AL133"/>
  <sheetViews>
    <sheetView zoomScale="115" zoomScaleNormal="115" workbookViewId="0">
      <pane xSplit="2" ySplit="13" topLeftCell="C14" activePane="bottomRight" state="frozen"/>
      <selection pane="topRight" activeCell="C1" sqref="C1"/>
      <selection pane="bottomLeft" activeCell="A16" sqref="A16"/>
      <selection pane="bottomRight" activeCell="D23" sqref="D23"/>
    </sheetView>
  </sheetViews>
  <sheetFormatPr defaultRowHeight="15" x14ac:dyDescent="0.25"/>
  <cols>
    <col min="1" max="1" width="26" customWidth="1"/>
    <col min="2" max="2" width="27.7109375" customWidth="1"/>
    <col min="4" max="24" width="11.7109375" customWidth="1"/>
    <col min="25" max="36" width="11.5703125" customWidth="1"/>
    <col min="38" max="38" width="12.28515625" customWidth="1"/>
  </cols>
  <sheetData>
    <row r="1" spans="1:38" x14ac:dyDescent="0.25">
      <c r="A1" s="12" t="s">
        <v>201</v>
      </c>
    </row>
    <row r="3" spans="1:38" x14ac:dyDescent="0.25">
      <c r="A3" s="12" t="s">
        <v>381</v>
      </c>
      <c r="C3" s="12" t="s">
        <v>382</v>
      </c>
      <c r="F3" s="12" t="s">
        <v>383</v>
      </c>
    </row>
    <row r="6" spans="1:38" x14ac:dyDescent="0.25">
      <c r="A6" t="s">
        <v>384</v>
      </c>
    </row>
    <row r="7" spans="1:38" ht="18" x14ac:dyDescent="0.35">
      <c r="A7" s="171" t="s">
        <v>385</v>
      </c>
      <c r="B7" t="s">
        <v>386</v>
      </c>
    </row>
    <row r="8" spans="1:38" ht="18" x14ac:dyDescent="0.35">
      <c r="A8" s="171" t="s">
        <v>387</v>
      </c>
      <c r="B8" t="s">
        <v>388</v>
      </c>
    </row>
    <row r="9" spans="1:38" ht="18" x14ac:dyDescent="0.35">
      <c r="A9" s="171" t="s">
        <v>389</v>
      </c>
      <c r="B9" t="s">
        <v>390</v>
      </c>
    </row>
    <row r="10" spans="1:38" x14ac:dyDescent="0.25">
      <c r="A10" s="171" t="s">
        <v>391</v>
      </c>
      <c r="B10" t="s">
        <v>392</v>
      </c>
    </row>
    <row r="11" spans="1:38" ht="18" x14ac:dyDescent="0.35">
      <c r="A11" s="171" t="s">
        <v>393</v>
      </c>
      <c r="B11" t="s">
        <v>394</v>
      </c>
    </row>
    <row r="13" spans="1:38" s="3" customFormat="1" x14ac:dyDescent="0.25">
      <c r="D13" s="3">
        <v>2022</v>
      </c>
      <c r="E13" s="3">
        <v>2023</v>
      </c>
      <c r="F13" s="3">
        <v>2024</v>
      </c>
      <c r="G13" s="3">
        <v>2025</v>
      </c>
      <c r="H13" s="3">
        <v>2026</v>
      </c>
      <c r="I13" s="3">
        <v>2027</v>
      </c>
      <c r="J13" s="3">
        <v>2028</v>
      </c>
      <c r="K13" s="3">
        <v>2029</v>
      </c>
      <c r="L13" s="3">
        <v>2030</v>
      </c>
      <c r="M13" s="3">
        <v>2031</v>
      </c>
      <c r="N13" s="3">
        <v>2032</v>
      </c>
      <c r="O13" s="3">
        <v>2033</v>
      </c>
      <c r="P13" s="3">
        <v>2034</v>
      </c>
      <c r="Q13" s="3">
        <v>2035</v>
      </c>
      <c r="R13" s="3">
        <v>2036</v>
      </c>
      <c r="S13" s="3">
        <v>2037</v>
      </c>
      <c r="T13" s="3">
        <v>2038</v>
      </c>
      <c r="U13" s="3">
        <v>2039</v>
      </c>
      <c r="V13" s="3">
        <v>2040</v>
      </c>
      <c r="W13" s="3">
        <v>2041</v>
      </c>
      <c r="X13" s="3">
        <v>2042</v>
      </c>
      <c r="Y13" s="3">
        <v>2043</v>
      </c>
      <c r="Z13" s="3">
        <v>2044</v>
      </c>
      <c r="AA13" s="3">
        <v>2045</v>
      </c>
      <c r="AB13" s="3">
        <v>2046</v>
      </c>
      <c r="AC13" s="3">
        <v>2047</v>
      </c>
      <c r="AD13" s="3">
        <v>2048</v>
      </c>
      <c r="AE13" s="3">
        <v>2049</v>
      </c>
      <c r="AF13" s="3">
        <v>2050</v>
      </c>
      <c r="AG13" s="3">
        <v>2051</v>
      </c>
      <c r="AH13" s="3">
        <v>2052</v>
      </c>
      <c r="AI13" s="3">
        <v>2053</v>
      </c>
      <c r="AJ13" s="3">
        <v>2054</v>
      </c>
    </row>
    <row r="14" spans="1:38" s="3" customFormat="1" x14ac:dyDescent="0.25">
      <c r="A14" s="172" t="s">
        <v>395</v>
      </c>
      <c r="B14" s="173"/>
      <c r="C14" s="173"/>
      <c r="D14" s="173"/>
      <c r="E14" s="173"/>
      <c r="F14" s="173"/>
      <c r="G14" s="173"/>
      <c r="H14" s="173"/>
      <c r="I14" s="173"/>
      <c r="J14" s="173"/>
      <c r="K14" s="173"/>
      <c r="L14" s="173"/>
      <c r="M14" s="173"/>
      <c r="N14" s="173"/>
      <c r="O14" s="173"/>
      <c r="P14" s="173"/>
      <c r="Q14" s="173"/>
      <c r="R14" s="173"/>
      <c r="S14" s="173"/>
      <c r="T14" s="173"/>
      <c r="U14" s="173"/>
      <c r="V14" s="173"/>
      <c r="W14" s="173"/>
      <c r="X14" s="173"/>
      <c r="Y14" s="173"/>
      <c r="Z14" s="173"/>
      <c r="AA14" s="173"/>
      <c r="AB14" s="173"/>
      <c r="AC14" s="173"/>
      <c r="AD14" s="173"/>
      <c r="AE14" s="173"/>
      <c r="AF14" s="173"/>
      <c r="AG14" s="173"/>
      <c r="AH14" s="173"/>
      <c r="AI14" s="173"/>
      <c r="AJ14" s="173"/>
    </row>
    <row r="15" spans="1:38" x14ac:dyDescent="0.25">
      <c r="A15" s="4" t="s">
        <v>396</v>
      </c>
      <c r="B15" s="174" t="s">
        <v>91</v>
      </c>
      <c r="D15" s="80">
        <f>SUM(D31,D46,D61,D76,D91,D106,D121)*0.000001</f>
        <v>22.360459026400495</v>
      </c>
      <c r="E15" s="80">
        <f t="shared" ref="E15:AJ27" si="0">SUM(E31,E46,E61,E76,E91,E106,E121)*0.000001</f>
        <v>22.261361426400498</v>
      </c>
      <c r="F15" s="80">
        <f t="shared" si="0"/>
        <v>22.148107026400496</v>
      </c>
      <c r="G15" s="80">
        <f t="shared" si="0"/>
        <v>22.020695826400495</v>
      </c>
      <c r="H15" s="80">
        <f t="shared" si="0"/>
        <v>21.893284626400497</v>
      </c>
      <c r="I15" s="80">
        <f t="shared" si="0"/>
        <v>21.765873426400496</v>
      </c>
      <c r="J15" s="80">
        <f t="shared" si="0"/>
        <v>21.737559826400496</v>
      </c>
      <c r="K15" s="80">
        <f t="shared" si="0"/>
        <v>21.737559826400496</v>
      </c>
      <c r="L15" s="80">
        <f t="shared" si="0"/>
        <v>21.737559826400496</v>
      </c>
      <c r="M15" s="80">
        <f t="shared" si="0"/>
        <v>21.737559826400496</v>
      </c>
      <c r="N15" s="80">
        <f t="shared" si="0"/>
        <v>21.737559826400496</v>
      </c>
      <c r="O15" s="80">
        <f t="shared" si="0"/>
        <v>21.737559826400496</v>
      </c>
      <c r="P15" s="80">
        <f t="shared" si="0"/>
        <v>21.737559826400496</v>
      </c>
      <c r="Q15" s="80">
        <f t="shared" si="0"/>
        <v>21.737559826400496</v>
      </c>
      <c r="R15" s="80">
        <f t="shared" si="0"/>
        <v>21.737559826400496</v>
      </c>
      <c r="S15" s="80">
        <f t="shared" si="0"/>
        <v>21.737559826400496</v>
      </c>
      <c r="T15" s="80">
        <f t="shared" si="0"/>
        <v>21.737559826400496</v>
      </c>
      <c r="U15" s="80">
        <f t="shared" si="0"/>
        <v>21.737559826400496</v>
      </c>
      <c r="V15" s="80">
        <f t="shared" si="0"/>
        <v>21.737559826400496</v>
      </c>
      <c r="W15" s="80">
        <f t="shared" si="0"/>
        <v>21.737559826400496</v>
      </c>
      <c r="X15" s="80">
        <f t="shared" si="0"/>
        <v>21.737559826400496</v>
      </c>
      <c r="Y15" s="80">
        <f t="shared" si="0"/>
        <v>21.737559826400496</v>
      </c>
      <c r="Z15" s="80">
        <f t="shared" si="0"/>
        <v>21.737559826400496</v>
      </c>
      <c r="AA15" s="80">
        <f t="shared" si="0"/>
        <v>21.737559826400496</v>
      </c>
      <c r="AB15" s="80">
        <f t="shared" si="0"/>
        <v>21.737559826400496</v>
      </c>
      <c r="AC15" s="80">
        <f t="shared" si="0"/>
        <v>21.737559826400496</v>
      </c>
      <c r="AD15" s="80">
        <f t="shared" si="0"/>
        <v>21.737559826400496</v>
      </c>
      <c r="AE15" s="80">
        <f t="shared" si="0"/>
        <v>21.737559826400496</v>
      </c>
      <c r="AF15" s="80">
        <f t="shared" si="0"/>
        <v>21.737559826400496</v>
      </c>
      <c r="AG15" s="80">
        <f t="shared" si="0"/>
        <v>21.737559826400496</v>
      </c>
      <c r="AH15" s="80">
        <f t="shared" si="0"/>
        <v>21.737559826400496</v>
      </c>
      <c r="AI15" s="80">
        <f t="shared" si="0"/>
        <v>21.737559826400496</v>
      </c>
      <c r="AJ15" s="80">
        <f t="shared" si="0"/>
        <v>21.737559826400496</v>
      </c>
      <c r="AL15" s="80">
        <f>SUM(D15:AJ15)</f>
        <v>719.36389667121614</v>
      </c>
    </row>
    <row r="16" spans="1:38" ht="18" x14ac:dyDescent="0.35">
      <c r="A16" s="4" t="s">
        <v>397</v>
      </c>
      <c r="B16" s="174" t="s">
        <v>398</v>
      </c>
      <c r="D16" s="80">
        <f t="shared" ref="D16:X27" si="1">SUM(D32,D47,D62,D77,D92,D107,D122)*0.000001</f>
        <v>0.38977227478911569</v>
      </c>
      <c r="E16" s="80">
        <f t="shared" si="1"/>
        <v>0.38714515777995567</v>
      </c>
      <c r="F16" s="80">
        <f t="shared" si="1"/>
        <v>0.38414273834091572</v>
      </c>
      <c r="G16" s="80">
        <f t="shared" si="1"/>
        <v>0.38076501647199573</v>
      </c>
      <c r="H16" s="80">
        <f t="shared" si="1"/>
        <v>0.37738729460307568</v>
      </c>
      <c r="I16" s="80">
        <f t="shared" si="1"/>
        <v>0.37400957273415575</v>
      </c>
      <c r="J16" s="80">
        <f t="shared" si="1"/>
        <v>0.37325896787439572</v>
      </c>
      <c r="K16" s="80">
        <f t="shared" si="1"/>
        <v>0.37325896787439572</v>
      </c>
      <c r="L16" s="80">
        <f t="shared" si="1"/>
        <v>0.37325896787439572</v>
      </c>
      <c r="M16" s="80">
        <f t="shared" si="1"/>
        <v>0.37325896787439572</v>
      </c>
      <c r="N16" s="80">
        <f t="shared" si="1"/>
        <v>0.37325896787439572</v>
      </c>
      <c r="O16" s="80">
        <f t="shared" si="1"/>
        <v>0.37325896787439572</v>
      </c>
      <c r="P16" s="80">
        <f t="shared" si="1"/>
        <v>0.37325896787439572</v>
      </c>
      <c r="Q16" s="80">
        <f t="shared" si="1"/>
        <v>0.37325896787439572</v>
      </c>
      <c r="R16" s="80">
        <f t="shared" si="1"/>
        <v>0.37325896787439572</v>
      </c>
      <c r="S16" s="80">
        <f t="shared" si="1"/>
        <v>0.37325896787439572</v>
      </c>
      <c r="T16" s="80">
        <f t="shared" si="1"/>
        <v>0.37325896787439572</v>
      </c>
      <c r="U16" s="80">
        <f t="shared" si="1"/>
        <v>0.37325896787439572</v>
      </c>
      <c r="V16" s="80">
        <f t="shared" si="1"/>
        <v>0.37325896787439572</v>
      </c>
      <c r="W16" s="80">
        <f t="shared" si="1"/>
        <v>0.37325896787439572</v>
      </c>
      <c r="X16" s="80">
        <f t="shared" si="1"/>
        <v>0.37325896787439572</v>
      </c>
      <c r="Y16" s="80">
        <f t="shared" si="0"/>
        <v>0.37325896787439572</v>
      </c>
      <c r="Z16" s="80">
        <f t="shared" si="0"/>
        <v>0.37325896787439572</v>
      </c>
      <c r="AA16" s="80">
        <f t="shared" si="0"/>
        <v>0.37325896787439572</v>
      </c>
      <c r="AB16" s="80">
        <f t="shared" si="0"/>
        <v>0.37325896787439572</v>
      </c>
      <c r="AC16" s="80">
        <f t="shared" si="0"/>
        <v>0.37325896787439572</v>
      </c>
      <c r="AD16" s="80">
        <f t="shared" si="0"/>
        <v>0.37325896787439572</v>
      </c>
      <c r="AE16" s="80">
        <f t="shared" si="0"/>
        <v>0.37325896787439572</v>
      </c>
      <c r="AF16" s="80">
        <f t="shared" si="0"/>
        <v>0.37325896787439572</v>
      </c>
      <c r="AG16" s="80">
        <f t="shared" si="0"/>
        <v>0.37325896787439572</v>
      </c>
      <c r="AH16" s="80">
        <f t="shared" si="0"/>
        <v>0.37325896787439572</v>
      </c>
      <c r="AI16" s="80">
        <f t="shared" si="0"/>
        <v>0.37325896787439572</v>
      </c>
      <c r="AJ16" s="80">
        <f t="shared" si="0"/>
        <v>0.37325896787439572</v>
      </c>
    </row>
    <row r="17" spans="1:38" ht="18" x14ac:dyDescent="0.35">
      <c r="A17" s="4" t="s">
        <v>399</v>
      </c>
      <c r="B17" s="174" t="s">
        <v>400</v>
      </c>
      <c r="D17" s="80">
        <f t="shared" si="1"/>
        <v>0.34779616791411572</v>
      </c>
      <c r="E17" s="80">
        <f t="shared" si="1"/>
        <v>0.34605849057495569</v>
      </c>
      <c r="F17" s="80">
        <f t="shared" si="1"/>
        <v>0.3440725736159157</v>
      </c>
      <c r="G17" s="80">
        <f t="shared" si="1"/>
        <v>0.34183841703699569</v>
      </c>
      <c r="H17" s="80">
        <f t="shared" si="1"/>
        <v>0.33960426045807568</v>
      </c>
      <c r="I17" s="80">
        <f t="shared" si="1"/>
        <v>0.33737010387915567</v>
      </c>
      <c r="J17" s="80">
        <f t="shared" si="1"/>
        <v>0.33687362463939569</v>
      </c>
      <c r="K17" s="80">
        <f t="shared" si="1"/>
        <v>0.33687362463939569</v>
      </c>
      <c r="L17" s="80">
        <f t="shared" si="1"/>
        <v>0.33687362463939569</v>
      </c>
      <c r="M17" s="80">
        <f t="shared" si="1"/>
        <v>0.33687362463939569</v>
      </c>
      <c r="N17" s="80">
        <f t="shared" si="1"/>
        <v>0.33687362463939569</v>
      </c>
      <c r="O17" s="80">
        <f t="shared" si="1"/>
        <v>0.33687362463939569</v>
      </c>
      <c r="P17" s="80">
        <f t="shared" si="1"/>
        <v>0.33687362463939569</v>
      </c>
      <c r="Q17" s="80">
        <f t="shared" si="1"/>
        <v>0.33687362463939569</v>
      </c>
      <c r="R17" s="80">
        <f t="shared" si="1"/>
        <v>0.33687362463939569</v>
      </c>
      <c r="S17" s="80">
        <f t="shared" si="1"/>
        <v>0.33687362463939569</v>
      </c>
      <c r="T17" s="80">
        <f t="shared" si="1"/>
        <v>0.33687362463939569</v>
      </c>
      <c r="U17" s="80">
        <f t="shared" si="1"/>
        <v>0.33687362463939569</v>
      </c>
      <c r="V17" s="80">
        <f t="shared" si="1"/>
        <v>0.33687362463939569</v>
      </c>
      <c r="W17" s="80">
        <f t="shared" si="1"/>
        <v>0.33687362463939569</v>
      </c>
      <c r="X17" s="80">
        <f t="shared" si="1"/>
        <v>0.33687362463939569</v>
      </c>
      <c r="Y17" s="80">
        <f t="shared" si="0"/>
        <v>0.33687362463939569</v>
      </c>
      <c r="Z17" s="80">
        <f t="shared" si="0"/>
        <v>0.33687362463939569</v>
      </c>
      <c r="AA17" s="80">
        <f t="shared" si="0"/>
        <v>0.33687362463939569</v>
      </c>
      <c r="AB17" s="80">
        <f t="shared" si="0"/>
        <v>0.33687362463939569</v>
      </c>
      <c r="AC17" s="80">
        <f t="shared" si="0"/>
        <v>0.33687362463939569</v>
      </c>
      <c r="AD17" s="80">
        <f t="shared" si="0"/>
        <v>0.33687362463939569</v>
      </c>
      <c r="AE17" s="80">
        <f t="shared" si="0"/>
        <v>0.33687362463939569</v>
      </c>
      <c r="AF17" s="80">
        <f t="shared" si="0"/>
        <v>0.33687362463939569</v>
      </c>
      <c r="AG17" s="80">
        <f t="shared" si="0"/>
        <v>0.33687362463939569</v>
      </c>
      <c r="AH17" s="80">
        <f t="shared" si="0"/>
        <v>0.33687362463939569</v>
      </c>
      <c r="AI17" s="80">
        <f t="shared" si="0"/>
        <v>0.33687362463939569</v>
      </c>
      <c r="AJ17" s="80">
        <f t="shared" si="0"/>
        <v>0.33687362463939569</v>
      </c>
    </row>
    <row r="18" spans="1:38" ht="18" x14ac:dyDescent="0.35">
      <c r="A18" s="4" t="s">
        <v>397</v>
      </c>
      <c r="B18" s="174" t="s">
        <v>401</v>
      </c>
      <c r="D18" s="80">
        <f t="shared" si="1"/>
        <v>0.35859049280598648</v>
      </c>
      <c r="E18" s="80">
        <f t="shared" si="1"/>
        <v>0.35617354515755928</v>
      </c>
      <c r="F18" s="80">
        <f t="shared" si="1"/>
        <v>0.3534113192736425</v>
      </c>
      <c r="G18" s="80">
        <f t="shared" si="1"/>
        <v>0.35030381515423609</v>
      </c>
      <c r="H18" s="80">
        <f t="shared" si="1"/>
        <v>0.34719631103482967</v>
      </c>
      <c r="I18" s="80">
        <f t="shared" si="1"/>
        <v>0.34408880691542332</v>
      </c>
      <c r="J18" s="80">
        <f t="shared" si="1"/>
        <v>0.34339825044444411</v>
      </c>
      <c r="K18" s="80">
        <f t="shared" si="1"/>
        <v>0.34339825044444411</v>
      </c>
      <c r="L18" s="80">
        <f t="shared" si="1"/>
        <v>0.34339825044444411</v>
      </c>
      <c r="M18" s="80">
        <f t="shared" si="1"/>
        <v>0.34339825044444411</v>
      </c>
      <c r="N18" s="80">
        <f t="shared" si="1"/>
        <v>0.34339825044444411</v>
      </c>
      <c r="O18" s="80">
        <f t="shared" si="1"/>
        <v>0.34339825044444411</v>
      </c>
      <c r="P18" s="80">
        <f t="shared" si="1"/>
        <v>0.34339825044444411</v>
      </c>
      <c r="Q18" s="80">
        <f t="shared" si="1"/>
        <v>0.34339825044444411</v>
      </c>
      <c r="R18" s="80">
        <f t="shared" si="1"/>
        <v>0.34339825044444411</v>
      </c>
      <c r="S18" s="80">
        <f t="shared" si="1"/>
        <v>0.34339825044444411</v>
      </c>
      <c r="T18" s="80">
        <f t="shared" si="1"/>
        <v>0.34339825044444411</v>
      </c>
      <c r="U18" s="80">
        <f t="shared" si="1"/>
        <v>0.34339825044444411</v>
      </c>
      <c r="V18" s="80">
        <f t="shared" si="1"/>
        <v>0.34339825044444411</v>
      </c>
      <c r="W18" s="80">
        <f t="shared" si="1"/>
        <v>0.34339825044444411</v>
      </c>
      <c r="X18" s="80">
        <f t="shared" si="1"/>
        <v>0.34339825044444411</v>
      </c>
      <c r="Y18" s="80">
        <f t="shared" si="0"/>
        <v>0.34339825044444411</v>
      </c>
      <c r="Z18" s="80">
        <f t="shared" si="0"/>
        <v>0.34339825044444411</v>
      </c>
      <c r="AA18" s="80">
        <f t="shared" si="0"/>
        <v>0.34339825044444411</v>
      </c>
      <c r="AB18" s="80">
        <f t="shared" si="0"/>
        <v>0.34339825044444411</v>
      </c>
      <c r="AC18" s="80">
        <f t="shared" si="0"/>
        <v>0.34339825044444411</v>
      </c>
      <c r="AD18" s="80">
        <f t="shared" si="0"/>
        <v>0.34339825044444411</v>
      </c>
      <c r="AE18" s="80">
        <f t="shared" si="0"/>
        <v>0.34339825044444411</v>
      </c>
      <c r="AF18" s="80">
        <f t="shared" si="0"/>
        <v>0.34339825044444411</v>
      </c>
      <c r="AG18" s="80">
        <f t="shared" si="0"/>
        <v>0.34339825044444411</v>
      </c>
      <c r="AH18" s="80">
        <f t="shared" si="0"/>
        <v>0.34339825044444411</v>
      </c>
      <c r="AI18" s="80">
        <f t="shared" si="0"/>
        <v>0.34339825044444411</v>
      </c>
      <c r="AJ18" s="80">
        <f t="shared" si="0"/>
        <v>0.34339825044444411</v>
      </c>
      <c r="AL18" s="80">
        <f>SUM(D18:AJ18)</f>
        <v>11.381517052341673</v>
      </c>
    </row>
    <row r="19" spans="1:38" ht="18" x14ac:dyDescent="0.35">
      <c r="A19" s="4" t="s">
        <v>399</v>
      </c>
      <c r="B19" s="174" t="s">
        <v>402</v>
      </c>
      <c r="D19" s="80">
        <f t="shared" si="1"/>
        <v>0.31997247448098648</v>
      </c>
      <c r="E19" s="80">
        <f t="shared" si="1"/>
        <v>0.31837381132895931</v>
      </c>
      <c r="F19" s="80">
        <f t="shared" si="1"/>
        <v>0.31654676772664248</v>
      </c>
      <c r="G19" s="80">
        <f t="shared" si="1"/>
        <v>0.31449134367403608</v>
      </c>
      <c r="H19" s="80">
        <f t="shared" si="1"/>
        <v>0.31243591962142969</v>
      </c>
      <c r="I19" s="80">
        <f t="shared" si="1"/>
        <v>0.3103804955688233</v>
      </c>
      <c r="J19" s="80">
        <f t="shared" si="1"/>
        <v>0.30992373466824413</v>
      </c>
      <c r="K19" s="80">
        <f t="shared" si="1"/>
        <v>0.30992373466824413</v>
      </c>
      <c r="L19" s="80">
        <f t="shared" si="1"/>
        <v>0.30992373466824413</v>
      </c>
      <c r="M19" s="80">
        <f t="shared" si="1"/>
        <v>0.30992373466824413</v>
      </c>
      <c r="N19" s="80">
        <f t="shared" si="1"/>
        <v>0.30992373466824413</v>
      </c>
      <c r="O19" s="80">
        <f t="shared" si="1"/>
        <v>0.30992373466824413</v>
      </c>
      <c r="P19" s="80">
        <f t="shared" si="1"/>
        <v>0.30992373466824413</v>
      </c>
      <c r="Q19" s="80">
        <f t="shared" si="1"/>
        <v>0.30992373466824413</v>
      </c>
      <c r="R19" s="80">
        <f t="shared" si="1"/>
        <v>0.30992373466824413</v>
      </c>
      <c r="S19" s="80">
        <f t="shared" si="1"/>
        <v>0.30992373466824413</v>
      </c>
      <c r="T19" s="80">
        <f t="shared" si="1"/>
        <v>0.30992373466824413</v>
      </c>
      <c r="U19" s="80">
        <f t="shared" si="1"/>
        <v>0.30992373466824413</v>
      </c>
      <c r="V19" s="80">
        <f t="shared" si="1"/>
        <v>0.30992373466824413</v>
      </c>
      <c r="W19" s="80">
        <f t="shared" si="1"/>
        <v>0.30992373466824413</v>
      </c>
      <c r="X19" s="80">
        <f t="shared" si="1"/>
        <v>0.30992373466824413</v>
      </c>
      <c r="Y19" s="80">
        <f t="shared" si="0"/>
        <v>0.30992373466824413</v>
      </c>
      <c r="Z19" s="80">
        <f t="shared" si="0"/>
        <v>0.30992373466824413</v>
      </c>
      <c r="AA19" s="80">
        <f t="shared" si="0"/>
        <v>0.30992373466824413</v>
      </c>
      <c r="AB19" s="80">
        <f t="shared" si="0"/>
        <v>0.30992373466824413</v>
      </c>
      <c r="AC19" s="80">
        <f t="shared" si="0"/>
        <v>0.30992373466824413</v>
      </c>
      <c r="AD19" s="80">
        <f t="shared" si="0"/>
        <v>0.30992373466824413</v>
      </c>
      <c r="AE19" s="80">
        <f t="shared" si="0"/>
        <v>0.30992373466824413</v>
      </c>
      <c r="AF19" s="80">
        <f t="shared" si="0"/>
        <v>0.30992373466824413</v>
      </c>
      <c r="AG19" s="80">
        <f t="shared" si="0"/>
        <v>0.30992373466824413</v>
      </c>
      <c r="AH19" s="80">
        <f t="shared" si="0"/>
        <v>0.30992373466824413</v>
      </c>
      <c r="AI19" s="80">
        <f t="shared" si="0"/>
        <v>0.30992373466824413</v>
      </c>
      <c r="AJ19" s="80">
        <f t="shared" si="0"/>
        <v>0.30992373466824413</v>
      </c>
    </row>
    <row r="20" spans="1:38" x14ac:dyDescent="0.25">
      <c r="A20" s="4" t="s">
        <v>403</v>
      </c>
      <c r="B20" s="174" t="s">
        <v>404</v>
      </c>
      <c r="D20" s="80">
        <f t="shared" si="1"/>
        <v>1.0757714784179598E-2</v>
      </c>
      <c r="E20" s="80">
        <f t="shared" si="1"/>
        <v>1.068520635472678E-2</v>
      </c>
      <c r="F20" s="80">
        <f t="shared" si="1"/>
        <v>1.0602339578209278E-2</v>
      </c>
      <c r="G20" s="80">
        <f t="shared" si="1"/>
        <v>1.0509114454627084E-2</v>
      </c>
      <c r="H20" s="80">
        <f t="shared" si="1"/>
        <v>1.0415889331044892E-2</v>
      </c>
      <c r="I20" s="80">
        <f t="shared" si="1"/>
        <v>1.03226642074627E-2</v>
      </c>
      <c r="J20" s="80">
        <f t="shared" si="1"/>
        <v>1.0301947513333324E-2</v>
      </c>
      <c r="K20" s="80">
        <f t="shared" si="1"/>
        <v>1.0301947513333324E-2</v>
      </c>
      <c r="L20" s="80">
        <f t="shared" si="1"/>
        <v>1.0301947513333324E-2</v>
      </c>
      <c r="M20" s="80">
        <f t="shared" si="1"/>
        <v>1.0301947513333324E-2</v>
      </c>
      <c r="N20" s="80">
        <f t="shared" si="1"/>
        <v>1.0301947513333324E-2</v>
      </c>
      <c r="O20" s="80">
        <f t="shared" si="1"/>
        <v>1.0301947513333324E-2</v>
      </c>
      <c r="P20" s="80">
        <f t="shared" si="1"/>
        <v>1.0301947513333324E-2</v>
      </c>
      <c r="Q20" s="80">
        <f t="shared" si="1"/>
        <v>1.0301947513333324E-2</v>
      </c>
      <c r="R20" s="80">
        <f t="shared" si="1"/>
        <v>1.0301947513333324E-2</v>
      </c>
      <c r="S20" s="80">
        <f t="shared" si="1"/>
        <v>1.0301947513333324E-2</v>
      </c>
      <c r="T20" s="80">
        <f t="shared" si="1"/>
        <v>1.0301947513333324E-2</v>
      </c>
      <c r="U20" s="80">
        <f t="shared" si="1"/>
        <v>1.0301947513333324E-2</v>
      </c>
      <c r="V20" s="80">
        <f t="shared" si="1"/>
        <v>1.0301947513333324E-2</v>
      </c>
      <c r="W20" s="80">
        <f t="shared" si="1"/>
        <v>1.0301947513333324E-2</v>
      </c>
      <c r="X20" s="80">
        <f t="shared" si="1"/>
        <v>1.0301947513333324E-2</v>
      </c>
      <c r="Y20" s="80">
        <f t="shared" si="0"/>
        <v>1.0301947513333324E-2</v>
      </c>
      <c r="Z20" s="80">
        <f t="shared" si="0"/>
        <v>1.0301947513333324E-2</v>
      </c>
      <c r="AA20" s="80">
        <f t="shared" si="0"/>
        <v>1.0301947513333324E-2</v>
      </c>
      <c r="AB20" s="80">
        <f t="shared" si="0"/>
        <v>1.0301947513333324E-2</v>
      </c>
      <c r="AC20" s="80">
        <f t="shared" si="0"/>
        <v>1.0301947513333324E-2</v>
      </c>
      <c r="AD20" s="80">
        <f t="shared" si="0"/>
        <v>1.0301947513333324E-2</v>
      </c>
      <c r="AE20" s="80">
        <f t="shared" si="0"/>
        <v>1.0301947513333324E-2</v>
      </c>
      <c r="AF20" s="80">
        <f t="shared" si="0"/>
        <v>1.0301947513333324E-2</v>
      </c>
      <c r="AG20" s="80">
        <f t="shared" si="0"/>
        <v>1.0301947513333324E-2</v>
      </c>
      <c r="AH20" s="80">
        <f t="shared" si="0"/>
        <v>1.0301947513333324E-2</v>
      </c>
      <c r="AI20" s="80">
        <f t="shared" si="0"/>
        <v>1.0301947513333324E-2</v>
      </c>
      <c r="AJ20" s="80">
        <f t="shared" si="0"/>
        <v>1.0301947513333324E-2</v>
      </c>
    </row>
    <row r="21" spans="1:38" x14ac:dyDescent="0.25">
      <c r="A21" s="4" t="s">
        <v>405</v>
      </c>
      <c r="B21" s="174" t="s">
        <v>406</v>
      </c>
      <c r="D21" s="80">
        <f t="shared" si="1"/>
        <v>1.6755470931867231</v>
      </c>
      <c r="E21" s="80">
        <f t="shared" si="1"/>
        <v>1.6714212931867232</v>
      </c>
      <c r="F21" s="80">
        <f t="shared" si="1"/>
        <v>1.6667060931867232</v>
      </c>
      <c r="G21" s="80">
        <f t="shared" si="1"/>
        <v>1.6614014931867231</v>
      </c>
      <c r="H21" s="80">
        <f t="shared" si="1"/>
        <v>1.6560968931867233</v>
      </c>
      <c r="I21" s="80">
        <f t="shared" si="1"/>
        <v>1.6507922931867232</v>
      </c>
      <c r="J21" s="80">
        <f t="shared" si="1"/>
        <v>1.6496134931867235</v>
      </c>
      <c r="K21" s="80">
        <f t="shared" si="1"/>
        <v>1.6496134931867235</v>
      </c>
      <c r="L21" s="80">
        <f t="shared" si="1"/>
        <v>1.6496134931867235</v>
      </c>
      <c r="M21" s="80">
        <f t="shared" si="1"/>
        <v>1.6496134931867235</v>
      </c>
      <c r="N21" s="80">
        <f t="shared" si="1"/>
        <v>1.6496134931867235</v>
      </c>
      <c r="O21" s="80">
        <f t="shared" si="1"/>
        <v>1.6496134931867235</v>
      </c>
      <c r="P21" s="80">
        <f t="shared" si="1"/>
        <v>1.6496134931867235</v>
      </c>
      <c r="Q21" s="80">
        <f t="shared" si="1"/>
        <v>1.6496134931867235</v>
      </c>
      <c r="R21" s="80">
        <f t="shared" si="1"/>
        <v>1.6496134931867235</v>
      </c>
      <c r="S21" s="80">
        <f t="shared" si="1"/>
        <v>1.6496134931867235</v>
      </c>
      <c r="T21" s="80">
        <f t="shared" si="1"/>
        <v>1.6496134931867235</v>
      </c>
      <c r="U21" s="80">
        <f t="shared" si="1"/>
        <v>1.6496134931867235</v>
      </c>
      <c r="V21" s="80">
        <f t="shared" si="1"/>
        <v>1.6496134931867235</v>
      </c>
      <c r="W21" s="80">
        <f t="shared" si="1"/>
        <v>1.6496134931867235</v>
      </c>
      <c r="X21" s="80">
        <f t="shared" si="1"/>
        <v>1.6496134931867235</v>
      </c>
      <c r="Y21" s="80">
        <f t="shared" si="0"/>
        <v>1.6496134931867235</v>
      </c>
      <c r="Z21" s="80">
        <f t="shared" si="0"/>
        <v>1.6496134931867235</v>
      </c>
      <c r="AA21" s="80">
        <f t="shared" si="0"/>
        <v>1.6496134931867235</v>
      </c>
      <c r="AB21" s="80">
        <f t="shared" si="0"/>
        <v>1.6496134931867235</v>
      </c>
      <c r="AC21" s="80">
        <f t="shared" si="0"/>
        <v>1.6496134931867235</v>
      </c>
      <c r="AD21" s="80">
        <f t="shared" si="0"/>
        <v>1.6496134931867235</v>
      </c>
      <c r="AE21" s="80">
        <f t="shared" si="0"/>
        <v>1.6496134931867235</v>
      </c>
      <c r="AF21" s="80">
        <f t="shared" si="0"/>
        <v>1.6496134931867235</v>
      </c>
      <c r="AG21" s="80">
        <f t="shared" si="0"/>
        <v>1.6496134931867235</v>
      </c>
      <c r="AH21" s="80">
        <f t="shared" si="0"/>
        <v>1.6496134931867235</v>
      </c>
      <c r="AI21" s="80">
        <f t="shared" si="0"/>
        <v>1.6496134931867235</v>
      </c>
      <c r="AJ21" s="80">
        <f t="shared" si="0"/>
        <v>1.6496134931867235</v>
      </c>
    </row>
    <row r="22" spans="1:38" ht="30" x14ac:dyDescent="0.25">
      <c r="A22" s="4" t="s">
        <v>407</v>
      </c>
      <c r="B22" s="174" t="s">
        <v>408</v>
      </c>
      <c r="D22" s="80">
        <f t="shared" si="1"/>
        <v>1.7643510891256193</v>
      </c>
      <c r="E22" s="80">
        <f t="shared" si="1"/>
        <v>1.7600066217256194</v>
      </c>
      <c r="F22" s="80">
        <f t="shared" si="1"/>
        <v>1.7550415161256194</v>
      </c>
      <c r="G22" s="80">
        <f t="shared" si="1"/>
        <v>1.7494557723256194</v>
      </c>
      <c r="H22" s="80">
        <f t="shared" si="1"/>
        <v>1.7438700285256195</v>
      </c>
      <c r="I22" s="80">
        <f t="shared" si="1"/>
        <v>1.7382842847256195</v>
      </c>
      <c r="J22" s="80">
        <f t="shared" si="1"/>
        <v>1.7370430083256194</v>
      </c>
      <c r="K22" s="80">
        <f t="shared" si="1"/>
        <v>1.7370430083256194</v>
      </c>
      <c r="L22" s="80">
        <f t="shared" si="1"/>
        <v>1.7370430083256194</v>
      </c>
      <c r="M22" s="80">
        <f t="shared" si="1"/>
        <v>1.7370430083256194</v>
      </c>
      <c r="N22" s="80">
        <f t="shared" si="1"/>
        <v>1.7370430083256194</v>
      </c>
      <c r="O22" s="80">
        <f t="shared" si="1"/>
        <v>1.7370430083256194</v>
      </c>
      <c r="P22" s="80">
        <f t="shared" si="1"/>
        <v>1.7370430083256194</v>
      </c>
      <c r="Q22" s="80">
        <f t="shared" si="1"/>
        <v>1.7370430083256194</v>
      </c>
      <c r="R22" s="80">
        <f t="shared" si="1"/>
        <v>1.7370430083256194</v>
      </c>
      <c r="S22" s="80">
        <f t="shared" si="1"/>
        <v>1.7370430083256194</v>
      </c>
      <c r="T22" s="80">
        <f t="shared" si="1"/>
        <v>1.7370430083256194</v>
      </c>
      <c r="U22" s="80">
        <f t="shared" si="1"/>
        <v>1.7370430083256194</v>
      </c>
      <c r="V22" s="80">
        <f t="shared" si="1"/>
        <v>1.7370430083256194</v>
      </c>
      <c r="W22" s="80">
        <f t="shared" si="1"/>
        <v>1.7370430083256194</v>
      </c>
      <c r="X22" s="80">
        <f t="shared" si="1"/>
        <v>1.7370430083256194</v>
      </c>
      <c r="Y22" s="80">
        <f t="shared" si="0"/>
        <v>1.7370430083256194</v>
      </c>
      <c r="Z22" s="80">
        <f t="shared" si="0"/>
        <v>1.7370430083256194</v>
      </c>
      <c r="AA22" s="80">
        <f t="shared" si="0"/>
        <v>1.7370430083256194</v>
      </c>
      <c r="AB22" s="80">
        <f t="shared" si="0"/>
        <v>1.7370430083256194</v>
      </c>
      <c r="AC22" s="80">
        <f t="shared" si="0"/>
        <v>1.7370430083256194</v>
      </c>
      <c r="AD22" s="80">
        <f t="shared" si="0"/>
        <v>1.7370430083256194</v>
      </c>
      <c r="AE22" s="80">
        <f t="shared" si="0"/>
        <v>1.7370430083256194</v>
      </c>
      <c r="AF22" s="80">
        <f t="shared" si="0"/>
        <v>1.7370430083256194</v>
      </c>
      <c r="AG22" s="80">
        <f t="shared" si="0"/>
        <v>1.7370430083256194</v>
      </c>
      <c r="AH22" s="80">
        <f t="shared" si="0"/>
        <v>1.7370430083256194</v>
      </c>
      <c r="AI22" s="80">
        <f t="shared" si="0"/>
        <v>1.7370430083256194</v>
      </c>
      <c r="AJ22" s="80">
        <f t="shared" si="0"/>
        <v>1.7370430083256194</v>
      </c>
    </row>
    <row r="23" spans="1:38" ht="18" x14ac:dyDescent="0.35">
      <c r="A23" s="4" t="s">
        <v>409</v>
      </c>
      <c r="B23" s="174" t="s">
        <v>410</v>
      </c>
      <c r="D23" s="80">
        <f t="shared" si="1"/>
        <v>3.3510941863734461E-2</v>
      </c>
      <c r="E23" s="80">
        <f t="shared" si="1"/>
        <v>3.3428425863734464E-2</v>
      </c>
      <c r="F23" s="80">
        <f t="shared" si="1"/>
        <v>3.333412186373446E-2</v>
      </c>
      <c r="G23" s="80">
        <f t="shared" si="1"/>
        <v>3.3228029863734465E-2</v>
      </c>
      <c r="H23" s="80">
        <f t="shared" si="1"/>
        <v>3.3121937863734463E-2</v>
      </c>
      <c r="I23" s="80">
        <f t="shared" si="1"/>
        <v>3.3015845863734468E-2</v>
      </c>
      <c r="J23" s="80">
        <f t="shared" si="1"/>
        <v>3.2992269863734464E-2</v>
      </c>
      <c r="K23" s="80">
        <f t="shared" si="1"/>
        <v>3.2992269863734464E-2</v>
      </c>
      <c r="L23" s="80">
        <f t="shared" si="1"/>
        <v>3.2992269863734464E-2</v>
      </c>
      <c r="M23" s="80">
        <f t="shared" si="1"/>
        <v>3.2992269863734464E-2</v>
      </c>
      <c r="N23" s="80">
        <f t="shared" si="1"/>
        <v>3.2992269863734464E-2</v>
      </c>
      <c r="O23" s="80">
        <f t="shared" si="1"/>
        <v>3.2992269863734464E-2</v>
      </c>
      <c r="P23" s="80">
        <f t="shared" si="1"/>
        <v>3.2992269863734464E-2</v>
      </c>
      <c r="Q23" s="80">
        <f t="shared" si="1"/>
        <v>3.2992269863734464E-2</v>
      </c>
      <c r="R23" s="80">
        <f t="shared" si="1"/>
        <v>3.2992269863734464E-2</v>
      </c>
      <c r="S23" s="80">
        <f t="shared" si="1"/>
        <v>3.2992269863734464E-2</v>
      </c>
      <c r="T23" s="80">
        <f t="shared" si="1"/>
        <v>3.2992269863734464E-2</v>
      </c>
      <c r="U23" s="80">
        <f t="shared" si="1"/>
        <v>3.2992269863734464E-2</v>
      </c>
      <c r="V23" s="80">
        <f t="shared" si="1"/>
        <v>3.2992269863734464E-2</v>
      </c>
      <c r="W23" s="80">
        <f t="shared" si="1"/>
        <v>3.2992269863734464E-2</v>
      </c>
      <c r="X23" s="80">
        <f t="shared" si="1"/>
        <v>3.2992269863734464E-2</v>
      </c>
      <c r="Y23" s="80">
        <f t="shared" si="0"/>
        <v>3.2992269863734464E-2</v>
      </c>
      <c r="Z23" s="80">
        <f t="shared" si="0"/>
        <v>3.2992269863734464E-2</v>
      </c>
      <c r="AA23" s="80">
        <f t="shared" si="0"/>
        <v>3.2992269863734464E-2</v>
      </c>
      <c r="AB23" s="80">
        <f t="shared" si="0"/>
        <v>3.2992269863734464E-2</v>
      </c>
      <c r="AC23" s="80">
        <f t="shared" si="0"/>
        <v>3.2992269863734464E-2</v>
      </c>
      <c r="AD23" s="80">
        <f t="shared" si="0"/>
        <v>3.2992269863734464E-2</v>
      </c>
      <c r="AE23" s="80">
        <f t="shared" si="0"/>
        <v>3.2992269863734464E-2</v>
      </c>
      <c r="AF23" s="80">
        <f t="shared" si="0"/>
        <v>3.2992269863734464E-2</v>
      </c>
      <c r="AG23" s="80">
        <f t="shared" si="0"/>
        <v>3.2992269863734464E-2</v>
      </c>
      <c r="AH23" s="80">
        <f t="shared" si="0"/>
        <v>3.2992269863734464E-2</v>
      </c>
      <c r="AI23" s="80">
        <f t="shared" si="0"/>
        <v>3.2992269863734464E-2</v>
      </c>
      <c r="AJ23" s="80">
        <f t="shared" si="0"/>
        <v>3.2992269863734464E-2</v>
      </c>
    </row>
    <row r="24" spans="1:38" x14ac:dyDescent="0.25">
      <c r="A24" s="4" t="s">
        <v>411</v>
      </c>
      <c r="B24" s="174" t="s">
        <v>412</v>
      </c>
      <c r="D24" s="80">
        <f t="shared" si="1"/>
        <v>3.3389892025212839</v>
      </c>
      <c r="E24" s="80">
        <f t="shared" si="1"/>
        <v>3.3279740025212843</v>
      </c>
      <c r="F24" s="80">
        <f t="shared" si="1"/>
        <v>3.3153852025212838</v>
      </c>
      <c r="G24" s="80">
        <f t="shared" si="1"/>
        <v>3.3012228025212842</v>
      </c>
      <c r="H24" s="80">
        <f t="shared" si="1"/>
        <v>3.2870604025212842</v>
      </c>
      <c r="I24" s="80">
        <f t="shared" si="1"/>
        <v>3.2728980025212842</v>
      </c>
      <c r="J24" s="80">
        <f t="shared" si="1"/>
        <v>3.2697508025212842</v>
      </c>
      <c r="K24" s="80">
        <f t="shared" si="1"/>
        <v>3.2697508025212842</v>
      </c>
      <c r="L24" s="80">
        <f t="shared" si="1"/>
        <v>3.2697508025212842</v>
      </c>
      <c r="M24" s="80">
        <f t="shared" si="1"/>
        <v>3.2697508025212842</v>
      </c>
      <c r="N24" s="80">
        <f t="shared" si="1"/>
        <v>3.2697508025212842</v>
      </c>
      <c r="O24" s="80">
        <f t="shared" si="1"/>
        <v>3.2697508025212842</v>
      </c>
      <c r="P24" s="80">
        <f t="shared" si="1"/>
        <v>3.2697508025212842</v>
      </c>
      <c r="Q24" s="80">
        <f t="shared" si="1"/>
        <v>3.2697508025212842</v>
      </c>
      <c r="R24" s="80">
        <f t="shared" si="1"/>
        <v>3.2697508025212842</v>
      </c>
      <c r="S24" s="80">
        <f t="shared" si="1"/>
        <v>3.2697508025212842</v>
      </c>
      <c r="T24" s="80">
        <f t="shared" si="1"/>
        <v>3.2697508025212842</v>
      </c>
      <c r="U24" s="80">
        <f t="shared" si="1"/>
        <v>3.2697508025212842</v>
      </c>
      <c r="V24" s="80">
        <f t="shared" si="1"/>
        <v>3.2697508025212842</v>
      </c>
      <c r="W24" s="80">
        <f t="shared" si="1"/>
        <v>3.2697508025212842</v>
      </c>
      <c r="X24" s="80">
        <f t="shared" si="1"/>
        <v>3.2697508025212842</v>
      </c>
      <c r="Y24" s="80">
        <f t="shared" si="0"/>
        <v>3.2697508025212842</v>
      </c>
      <c r="Z24" s="80">
        <f t="shared" si="0"/>
        <v>3.2697508025212842</v>
      </c>
      <c r="AA24" s="80">
        <f t="shared" si="0"/>
        <v>3.2697508025212842</v>
      </c>
      <c r="AB24" s="80">
        <f t="shared" si="0"/>
        <v>3.2697508025212842</v>
      </c>
      <c r="AC24" s="80">
        <f t="shared" si="0"/>
        <v>3.2697508025212842</v>
      </c>
      <c r="AD24" s="80">
        <f t="shared" si="0"/>
        <v>3.2697508025212842</v>
      </c>
      <c r="AE24" s="80">
        <f t="shared" si="0"/>
        <v>3.2697508025212842</v>
      </c>
      <c r="AF24" s="80">
        <f t="shared" si="0"/>
        <v>3.2697508025212842</v>
      </c>
      <c r="AG24" s="80">
        <f t="shared" si="0"/>
        <v>3.2697508025212842</v>
      </c>
      <c r="AH24" s="80">
        <f t="shared" si="0"/>
        <v>3.2697508025212842</v>
      </c>
      <c r="AI24" s="80">
        <f t="shared" si="0"/>
        <v>3.2697508025212842</v>
      </c>
      <c r="AJ24" s="80">
        <f t="shared" si="0"/>
        <v>3.2697508025212842</v>
      </c>
    </row>
    <row r="25" spans="1:38" ht="18" x14ac:dyDescent="0.35">
      <c r="A25" s="4" t="s">
        <v>413</v>
      </c>
      <c r="B25" s="174" t="s">
        <v>414</v>
      </c>
      <c r="D25" s="80">
        <f t="shared" si="1"/>
        <v>6.3554922637913347E-2</v>
      </c>
      <c r="E25" s="80">
        <f t="shared" si="1"/>
        <v>6.2957024637913347E-2</v>
      </c>
      <c r="F25" s="80">
        <f t="shared" si="1"/>
        <v>6.2273712637913335E-2</v>
      </c>
      <c r="G25" s="80">
        <f t="shared" si="1"/>
        <v>6.1504986637913345E-2</v>
      </c>
      <c r="H25" s="80">
        <f t="shared" si="1"/>
        <v>6.073626063791334E-2</v>
      </c>
      <c r="I25" s="80">
        <f t="shared" si="1"/>
        <v>5.9967534637913336E-2</v>
      </c>
      <c r="J25" s="80">
        <f t="shared" si="1"/>
        <v>5.9796706637913345E-2</v>
      </c>
      <c r="K25" s="80">
        <f t="shared" si="1"/>
        <v>5.9796706637913345E-2</v>
      </c>
      <c r="L25" s="80">
        <f t="shared" si="1"/>
        <v>5.9796706637913345E-2</v>
      </c>
      <c r="M25" s="80">
        <f t="shared" si="1"/>
        <v>5.9796706637913345E-2</v>
      </c>
      <c r="N25" s="80">
        <f t="shared" si="1"/>
        <v>5.9796706637913345E-2</v>
      </c>
      <c r="O25" s="80">
        <f t="shared" si="1"/>
        <v>5.9796706637913345E-2</v>
      </c>
      <c r="P25" s="80">
        <f t="shared" si="1"/>
        <v>5.9796706637913345E-2</v>
      </c>
      <c r="Q25" s="80">
        <f t="shared" si="1"/>
        <v>5.9796706637913345E-2</v>
      </c>
      <c r="R25" s="80">
        <f t="shared" si="1"/>
        <v>5.9796706637913345E-2</v>
      </c>
      <c r="S25" s="80">
        <f t="shared" si="1"/>
        <v>5.9796706637913345E-2</v>
      </c>
      <c r="T25" s="80">
        <f t="shared" si="1"/>
        <v>5.9796706637913345E-2</v>
      </c>
      <c r="U25" s="80">
        <f t="shared" si="1"/>
        <v>5.9796706637913345E-2</v>
      </c>
      <c r="V25" s="80">
        <f t="shared" si="1"/>
        <v>5.9796706637913345E-2</v>
      </c>
      <c r="W25" s="80">
        <f t="shared" si="1"/>
        <v>5.9796706637913345E-2</v>
      </c>
      <c r="X25" s="80">
        <f t="shared" si="1"/>
        <v>5.9796706637913345E-2</v>
      </c>
      <c r="Y25" s="80">
        <f t="shared" si="0"/>
        <v>5.9796706637913345E-2</v>
      </c>
      <c r="Z25" s="80">
        <f t="shared" si="0"/>
        <v>5.9796706637913345E-2</v>
      </c>
      <c r="AA25" s="80">
        <f t="shared" si="0"/>
        <v>5.9796706637913345E-2</v>
      </c>
      <c r="AB25" s="80">
        <f t="shared" si="0"/>
        <v>5.9796706637913345E-2</v>
      </c>
      <c r="AC25" s="80">
        <f t="shared" si="0"/>
        <v>5.9796706637913345E-2</v>
      </c>
      <c r="AD25" s="80">
        <f t="shared" si="0"/>
        <v>5.9796706637913345E-2</v>
      </c>
      <c r="AE25" s="80">
        <f t="shared" si="0"/>
        <v>5.9796706637913345E-2</v>
      </c>
      <c r="AF25" s="80">
        <f t="shared" si="0"/>
        <v>5.9796706637913345E-2</v>
      </c>
      <c r="AG25" s="80">
        <f t="shared" si="0"/>
        <v>5.9796706637913345E-2</v>
      </c>
      <c r="AH25" s="80">
        <f t="shared" si="0"/>
        <v>5.9796706637913345E-2</v>
      </c>
      <c r="AI25" s="80">
        <f t="shared" si="0"/>
        <v>5.9796706637913345E-2</v>
      </c>
      <c r="AJ25" s="80">
        <f t="shared" si="0"/>
        <v>5.9796706637913345E-2</v>
      </c>
    </row>
    <row r="26" spans="1:38" ht="18" x14ac:dyDescent="0.35">
      <c r="A26" s="4" t="s">
        <v>415</v>
      </c>
      <c r="B26" s="174" t="s">
        <v>416</v>
      </c>
      <c r="D26" s="80">
        <f t="shared" si="1"/>
        <v>81.014710767020446</v>
      </c>
      <c r="E26" s="80">
        <f t="shared" si="1"/>
        <v>80.330377943020466</v>
      </c>
      <c r="F26" s="80">
        <f t="shared" si="1"/>
        <v>79.548283287020453</v>
      </c>
      <c r="G26" s="80">
        <f t="shared" si="1"/>
        <v>78.668426799020452</v>
      </c>
      <c r="H26" s="80">
        <f t="shared" si="1"/>
        <v>77.788570311020464</v>
      </c>
      <c r="I26" s="80">
        <f t="shared" si="1"/>
        <v>76.908713823020449</v>
      </c>
      <c r="J26" s="80">
        <f t="shared" si="1"/>
        <v>76.713190159020456</v>
      </c>
      <c r="K26" s="80">
        <f t="shared" si="1"/>
        <v>76.713190159020456</v>
      </c>
      <c r="L26" s="80">
        <f t="shared" si="1"/>
        <v>76.713190159020456</v>
      </c>
      <c r="M26" s="80">
        <f t="shared" si="1"/>
        <v>76.713190159020456</v>
      </c>
      <c r="N26" s="80">
        <f t="shared" si="1"/>
        <v>76.713190159020456</v>
      </c>
      <c r="O26" s="80">
        <f t="shared" si="1"/>
        <v>76.713190159020456</v>
      </c>
      <c r="P26" s="80">
        <f t="shared" si="1"/>
        <v>76.713190159020456</v>
      </c>
      <c r="Q26" s="80">
        <f t="shared" si="1"/>
        <v>76.713190159020456</v>
      </c>
      <c r="R26" s="80">
        <f t="shared" si="1"/>
        <v>76.713190159020456</v>
      </c>
      <c r="S26" s="80">
        <f t="shared" si="1"/>
        <v>76.713190159020456</v>
      </c>
      <c r="T26" s="80">
        <f t="shared" si="1"/>
        <v>76.713190159020456</v>
      </c>
      <c r="U26" s="80">
        <f t="shared" si="1"/>
        <v>76.713190159020456</v>
      </c>
      <c r="V26" s="80">
        <f t="shared" si="1"/>
        <v>76.713190159020456</v>
      </c>
      <c r="W26" s="80">
        <f t="shared" si="1"/>
        <v>76.713190159020456</v>
      </c>
      <c r="X26" s="80">
        <f t="shared" si="1"/>
        <v>76.713190159020456</v>
      </c>
      <c r="Y26" s="80">
        <f t="shared" si="0"/>
        <v>76.713190159020456</v>
      </c>
      <c r="Z26" s="80">
        <f t="shared" si="0"/>
        <v>76.713190159020456</v>
      </c>
      <c r="AA26" s="80">
        <f t="shared" si="0"/>
        <v>76.713190159020456</v>
      </c>
      <c r="AB26" s="80">
        <f t="shared" si="0"/>
        <v>76.713190159020456</v>
      </c>
      <c r="AC26" s="80">
        <f t="shared" si="0"/>
        <v>76.713190159020456</v>
      </c>
      <c r="AD26" s="80">
        <f t="shared" si="0"/>
        <v>76.713190159020456</v>
      </c>
      <c r="AE26" s="80">
        <f t="shared" si="0"/>
        <v>76.713190159020456</v>
      </c>
      <c r="AF26" s="80">
        <f t="shared" si="0"/>
        <v>76.713190159020456</v>
      </c>
      <c r="AG26" s="80">
        <f t="shared" si="0"/>
        <v>76.713190159020456</v>
      </c>
      <c r="AH26" s="80">
        <f t="shared" si="0"/>
        <v>76.713190159020456</v>
      </c>
      <c r="AI26" s="80">
        <f t="shared" si="0"/>
        <v>76.713190159020456</v>
      </c>
      <c r="AJ26" s="80">
        <f t="shared" si="0"/>
        <v>76.713190159020456</v>
      </c>
      <c r="AL26" s="80">
        <f>SUM(D26:AJ26)</f>
        <v>2545.5152172236762</v>
      </c>
    </row>
    <row r="27" spans="1:38" ht="18" x14ac:dyDescent="0.35">
      <c r="A27" s="4" t="s">
        <v>417</v>
      </c>
      <c r="B27" s="174" t="s">
        <v>418</v>
      </c>
      <c r="D27" s="80">
        <f t="shared" si="1"/>
        <v>1.0688166713277123</v>
      </c>
      <c r="E27" s="80">
        <f t="shared" si="1"/>
        <v>1.062321954187472</v>
      </c>
      <c r="F27" s="80">
        <f t="shared" si="1"/>
        <v>1.0548994203129121</v>
      </c>
      <c r="G27" s="80">
        <f t="shared" si="1"/>
        <v>1.0465490697040323</v>
      </c>
      <c r="H27" s="80">
        <f t="shared" si="1"/>
        <v>1.0381987190951523</v>
      </c>
      <c r="I27" s="80">
        <f t="shared" si="1"/>
        <v>1.029848368486272</v>
      </c>
      <c r="J27" s="80">
        <f t="shared" si="1"/>
        <v>1.0279927350176321</v>
      </c>
      <c r="K27" s="80">
        <f t="shared" si="1"/>
        <v>1.0279927350176321</v>
      </c>
      <c r="L27" s="80">
        <f t="shared" si="1"/>
        <v>1.0279927350176321</v>
      </c>
      <c r="M27" s="80">
        <f t="shared" si="1"/>
        <v>1.0279927350176321</v>
      </c>
      <c r="N27" s="80">
        <f t="shared" si="1"/>
        <v>1.0279927350176321</v>
      </c>
      <c r="O27" s="80">
        <f t="shared" si="1"/>
        <v>1.0279927350176321</v>
      </c>
      <c r="P27" s="80">
        <f t="shared" si="1"/>
        <v>1.0279927350176321</v>
      </c>
      <c r="Q27" s="80">
        <f t="shared" si="1"/>
        <v>1.0279927350176321</v>
      </c>
      <c r="R27" s="80">
        <f t="shared" si="1"/>
        <v>1.0279927350176321</v>
      </c>
      <c r="S27" s="80">
        <f t="shared" si="1"/>
        <v>1.0279927350176321</v>
      </c>
      <c r="T27" s="80">
        <f t="shared" si="1"/>
        <v>1.0279927350176321</v>
      </c>
      <c r="U27" s="80">
        <f t="shared" si="1"/>
        <v>1.0279927350176321</v>
      </c>
      <c r="V27" s="80">
        <f t="shared" si="1"/>
        <v>1.0279927350176321</v>
      </c>
      <c r="W27" s="80">
        <f t="shared" si="1"/>
        <v>1.0279927350176321</v>
      </c>
      <c r="X27" s="80">
        <f t="shared" si="1"/>
        <v>1.0279927350176321</v>
      </c>
      <c r="Y27" s="80">
        <f t="shared" si="0"/>
        <v>1.0279927350176321</v>
      </c>
      <c r="Z27" s="80">
        <f t="shared" si="0"/>
        <v>1.0279927350176321</v>
      </c>
      <c r="AA27" s="80">
        <f t="shared" si="0"/>
        <v>1.0279927350176321</v>
      </c>
      <c r="AB27" s="80">
        <f t="shared" si="0"/>
        <v>1.0279927350176321</v>
      </c>
      <c r="AC27" s="80">
        <f t="shared" si="0"/>
        <v>1.0279927350176321</v>
      </c>
      <c r="AD27" s="80">
        <f t="shared" si="0"/>
        <v>1.0279927350176321</v>
      </c>
      <c r="AE27" s="80">
        <f t="shared" si="0"/>
        <v>1.0279927350176321</v>
      </c>
      <c r="AF27" s="80">
        <f t="shared" si="0"/>
        <v>1.0279927350176321</v>
      </c>
      <c r="AG27" s="80">
        <f t="shared" si="0"/>
        <v>1.0279927350176321</v>
      </c>
      <c r="AH27" s="80">
        <f t="shared" si="0"/>
        <v>1.0279927350176321</v>
      </c>
      <c r="AI27" s="80">
        <f t="shared" si="0"/>
        <v>1.0279927350176321</v>
      </c>
      <c r="AJ27" s="80">
        <f t="shared" si="0"/>
        <v>1.0279927350176321</v>
      </c>
    </row>
    <row r="28" spans="1:38" x14ac:dyDescent="0.25">
      <c r="D28" s="11"/>
      <c r="E28" s="11"/>
      <c r="F28" s="11"/>
      <c r="G28" s="11"/>
      <c r="H28" s="11"/>
      <c r="I28" s="11"/>
      <c r="J28" s="11"/>
      <c r="K28" s="11"/>
      <c r="L28" s="11"/>
      <c r="M28" s="11"/>
      <c r="N28" s="11"/>
      <c r="O28" s="11"/>
      <c r="P28" s="11"/>
      <c r="Q28" s="11"/>
      <c r="R28" s="11"/>
      <c r="S28" s="11"/>
      <c r="T28" s="11"/>
      <c r="U28" s="11"/>
      <c r="V28" s="11"/>
      <c r="W28" s="11"/>
      <c r="X28" s="11"/>
    </row>
    <row r="29" spans="1:38" x14ac:dyDescent="0.25">
      <c r="D29" s="11"/>
      <c r="E29" s="11"/>
      <c r="F29" s="11"/>
      <c r="G29" s="11"/>
      <c r="H29" s="11"/>
      <c r="I29" s="11"/>
      <c r="J29" s="11"/>
      <c r="K29" s="11"/>
      <c r="L29" s="11"/>
      <c r="M29" s="11"/>
      <c r="N29" s="11"/>
      <c r="O29" s="11"/>
      <c r="P29" s="11"/>
      <c r="Q29" s="11"/>
      <c r="R29" s="11"/>
      <c r="S29" s="11"/>
      <c r="T29" s="11"/>
      <c r="U29" s="11"/>
      <c r="V29" s="11"/>
      <c r="W29" s="11"/>
      <c r="X29" s="11"/>
    </row>
    <row r="30" spans="1:38" x14ac:dyDescent="0.25">
      <c r="A30" s="175" t="s">
        <v>419</v>
      </c>
      <c r="B30" s="176"/>
      <c r="C30" s="176"/>
      <c r="D30" s="177"/>
      <c r="E30" s="177"/>
      <c r="F30" s="177"/>
      <c r="G30" s="177"/>
      <c r="H30" s="177"/>
      <c r="I30" s="177"/>
      <c r="J30" s="177"/>
      <c r="K30" s="177"/>
      <c r="L30" s="177"/>
      <c r="M30" s="177"/>
      <c r="N30" s="177"/>
      <c r="O30" s="177"/>
      <c r="P30" s="177"/>
      <c r="Q30" s="177"/>
      <c r="R30" s="177"/>
      <c r="S30" s="177"/>
      <c r="T30" s="177"/>
      <c r="U30" s="177"/>
      <c r="V30" s="177"/>
      <c r="W30" s="177"/>
      <c r="X30" s="177"/>
      <c r="Y30" s="177"/>
      <c r="Z30" s="177"/>
      <c r="AA30" s="177"/>
      <c r="AB30" s="177"/>
      <c r="AC30" s="177"/>
      <c r="AD30" s="177"/>
      <c r="AE30" s="177"/>
      <c r="AF30" s="177"/>
      <c r="AG30" s="177"/>
      <c r="AH30" s="177"/>
      <c r="AI30" s="177"/>
      <c r="AJ30" s="177"/>
    </row>
    <row r="31" spans="1:38" x14ac:dyDescent="0.25">
      <c r="A31" s="4" t="s">
        <v>396</v>
      </c>
      <c r="B31" s="174" t="s">
        <v>91</v>
      </c>
      <c r="D31" s="11">
        <v>14632453.200376501</v>
      </c>
      <c r="E31" s="11">
        <v>14632453.200376501</v>
      </c>
      <c r="F31" s="11">
        <v>14632453.200376501</v>
      </c>
      <c r="G31" s="11">
        <v>14632453.200376501</v>
      </c>
      <c r="H31" s="11">
        <v>14632453.200376501</v>
      </c>
      <c r="I31" s="11">
        <v>14632453.200376501</v>
      </c>
      <c r="J31" s="11">
        <v>14632453.200376501</v>
      </c>
      <c r="K31" s="11">
        <v>14632453.200376501</v>
      </c>
      <c r="L31" s="11">
        <v>14632453.200376501</v>
      </c>
      <c r="M31" s="11">
        <v>14632453.200376501</v>
      </c>
      <c r="N31" s="11">
        <v>14632453.200376501</v>
      </c>
      <c r="O31" s="11">
        <v>14632453.200376501</v>
      </c>
      <c r="P31" s="11">
        <v>14632453.200376501</v>
      </c>
      <c r="Q31" s="11">
        <v>14632453.200376501</v>
      </c>
      <c r="R31" s="11">
        <v>14632453.200376501</v>
      </c>
      <c r="S31" s="11">
        <v>14632453.200376501</v>
      </c>
      <c r="T31" s="11">
        <v>14632453.200376501</v>
      </c>
      <c r="U31" s="11">
        <v>14632453.200376501</v>
      </c>
      <c r="V31" s="11">
        <v>14632453.200376501</v>
      </c>
      <c r="W31" s="11">
        <v>14632453.200376501</v>
      </c>
      <c r="X31" s="11">
        <v>14632453.200376501</v>
      </c>
      <c r="Y31" s="11">
        <v>14632453.200376501</v>
      </c>
      <c r="Z31" s="11">
        <v>14632453.200376501</v>
      </c>
      <c r="AA31" s="11">
        <v>14632453.200376501</v>
      </c>
      <c r="AB31" s="11">
        <v>14632453.200376501</v>
      </c>
      <c r="AC31" s="11">
        <v>14632453.200376501</v>
      </c>
      <c r="AD31" s="11">
        <v>14632453.200376501</v>
      </c>
      <c r="AE31" s="11">
        <v>14632453.200376501</v>
      </c>
      <c r="AF31" s="11">
        <v>14632453.200376501</v>
      </c>
      <c r="AG31" s="11">
        <v>14632453.200376501</v>
      </c>
      <c r="AH31" s="11">
        <v>14632453.200376501</v>
      </c>
      <c r="AI31" s="11">
        <v>14632453.200376501</v>
      </c>
      <c r="AJ31" s="11">
        <v>14632453.200376501</v>
      </c>
    </row>
    <row r="32" spans="1:38" ht="18" x14ac:dyDescent="0.35">
      <c r="A32" s="4" t="s">
        <v>397</v>
      </c>
      <c r="B32" s="174" t="s">
        <v>398</v>
      </c>
      <c r="D32" s="11">
        <v>207277.26682161103</v>
      </c>
      <c r="E32" s="11">
        <v>207277.26682161103</v>
      </c>
      <c r="F32" s="11">
        <v>207277.26682161103</v>
      </c>
      <c r="G32" s="11">
        <v>207277.26682161103</v>
      </c>
      <c r="H32" s="11">
        <v>207277.26682161103</v>
      </c>
      <c r="I32" s="11">
        <v>207277.26682161103</v>
      </c>
      <c r="J32" s="11">
        <v>207277.26682161103</v>
      </c>
      <c r="K32" s="11">
        <v>207277.26682161103</v>
      </c>
      <c r="L32" s="11">
        <v>207277.26682161103</v>
      </c>
      <c r="M32" s="11">
        <v>207277.26682161103</v>
      </c>
      <c r="N32" s="11">
        <v>207277.26682161103</v>
      </c>
      <c r="O32" s="11">
        <v>207277.26682161103</v>
      </c>
      <c r="P32" s="11">
        <v>207277.26682161103</v>
      </c>
      <c r="Q32" s="11">
        <v>207277.26682161103</v>
      </c>
      <c r="R32" s="11">
        <v>207277.26682161103</v>
      </c>
      <c r="S32" s="11">
        <v>207277.26682161103</v>
      </c>
      <c r="T32" s="11">
        <v>207277.26682161103</v>
      </c>
      <c r="U32" s="11">
        <v>207277.26682161103</v>
      </c>
      <c r="V32" s="11">
        <v>207277.26682161103</v>
      </c>
      <c r="W32" s="11">
        <v>207277.26682161103</v>
      </c>
      <c r="X32" s="11">
        <v>207277.26682161103</v>
      </c>
      <c r="Y32" s="11">
        <v>207277.26682161103</v>
      </c>
      <c r="Z32" s="11">
        <v>207277.26682161103</v>
      </c>
      <c r="AA32" s="11">
        <v>207277.26682161103</v>
      </c>
      <c r="AB32" s="11">
        <v>207277.26682161103</v>
      </c>
      <c r="AC32" s="11">
        <v>207277.26682161103</v>
      </c>
      <c r="AD32" s="11">
        <v>207277.26682161103</v>
      </c>
      <c r="AE32" s="11">
        <v>207277.26682161103</v>
      </c>
      <c r="AF32" s="11">
        <v>207277.26682161103</v>
      </c>
      <c r="AG32" s="11">
        <v>207277.26682161103</v>
      </c>
      <c r="AH32" s="11">
        <v>207277.26682161103</v>
      </c>
      <c r="AI32" s="11">
        <v>207277.26682161103</v>
      </c>
      <c r="AJ32" s="11">
        <v>207277.26682161103</v>
      </c>
    </row>
    <row r="33" spans="1:36" ht="18" x14ac:dyDescent="0.35">
      <c r="A33" s="4" t="s">
        <v>399</v>
      </c>
      <c r="B33" s="174" t="s">
        <v>400</v>
      </c>
      <c r="D33" s="11">
        <v>207277.26682161103</v>
      </c>
      <c r="E33" s="11">
        <v>207277.26682161103</v>
      </c>
      <c r="F33" s="11">
        <v>207277.26682161103</v>
      </c>
      <c r="G33" s="11">
        <v>207277.26682161103</v>
      </c>
      <c r="H33" s="11">
        <v>207277.26682161103</v>
      </c>
      <c r="I33" s="11">
        <v>207277.26682161103</v>
      </c>
      <c r="J33" s="11">
        <v>207277.26682161103</v>
      </c>
      <c r="K33" s="11">
        <v>207277.26682161103</v>
      </c>
      <c r="L33" s="11">
        <v>207277.26682161103</v>
      </c>
      <c r="M33" s="11">
        <v>207277.26682161103</v>
      </c>
      <c r="N33" s="11">
        <v>207277.26682161103</v>
      </c>
      <c r="O33" s="11">
        <v>207277.26682161103</v>
      </c>
      <c r="P33" s="11">
        <v>207277.26682161103</v>
      </c>
      <c r="Q33" s="11">
        <v>207277.26682161103</v>
      </c>
      <c r="R33" s="11">
        <v>207277.26682161103</v>
      </c>
      <c r="S33" s="11">
        <v>207277.26682161103</v>
      </c>
      <c r="T33" s="11">
        <v>207277.26682161103</v>
      </c>
      <c r="U33" s="11">
        <v>207277.26682161103</v>
      </c>
      <c r="V33" s="11">
        <v>207277.26682161103</v>
      </c>
      <c r="W33" s="11">
        <v>207277.26682161103</v>
      </c>
      <c r="X33" s="11">
        <v>207277.26682161103</v>
      </c>
      <c r="Y33" s="11">
        <v>207277.26682161103</v>
      </c>
      <c r="Z33" s="11">
        <v>207277.26682161103</v>
      </c>
      <c r="AA33" s="11">
        <v>207277.26682161103</v>
      </c>
      <c r="AB33" s="11">
        <v>207277.26682161103</v>
      </c>
      <c r="AC33" s="11">
        <v>207277.26682161103</v>
      </c>
      <c r="AD33" s="11">
        <v>207277.26682161103</v>
      </c>
      <c r="AE33" s="11">
        <v>207277.26682161103</v>
      </c>
      <c r="AF33" s="11">
        <v>207277.26682161103</v>
      </c>
      <c r="AG33" s="11">
        <v>207277.26682161103</v>
      </c>
      <c r="AH33" s="11">
        <v>207277.26682161103</v>
      </c>
      <c r="AI33" s="11">
        <v>207277.26682161103</v>
      </c>
      <c r="AJ33" s="11">
        <v>207277.26682161103</v>
      </c>
    </row>
    <row r="34" spans="1:36" ht="18" x14ac:dyDescent="0.35">
      <c r="A34" s="4" t="s">
        <v>397</v>
      </c>
      <c r="B34" s="174" t="s">
        <v>401</v>
      </c>
      <c r="D34" s="11">
        <v>190695.0854758822</v>
      </c>
      <c r="E34" s="11">
        <v>190695.0854758822</v>
      </c>
      <c r="F34" s="11">
        <v>190695.0854758822</v>
      </c>
      <c r="G34" s="11">
        <v>190695.0854758822</v>
      </c>
      <c r="H34" s="11">
        <v>190695.0854758822</v>
      </c>
      <c r="I34" s="11">
        <v>190695.0854758822</v>
      </c>
      <c r="J34" s="11">
        <v>190695.0854758822</v>
      </c>
      <c r="K34" s="11">
        <v>190695.0854758822</v>
      </c>
      <c r="L34" s="11">
        <v>190695.0854758822</v>
      </c>
      <c r="M34" s="11">
        <v>190695.0854758822</v>
      </c>
      <c r="N34" s="11">
        <v>190695.0854758822</v>
      </c>
      <c r="O34" s="11">
        <v>190695.0854758822</v>
      </c>
      <c r="P34" s="11">
        <v>190695.0854758822</v>
      </c>
      <c r="Q34" s="11">
        <v>190695.0854758822</v>
      </c>
      <c r="R34" s="11">
        <v>190695.0854758822</v>
      </c>
      <c r="S34" s="11">
        <v>190695.0854758822</v>
      </c>
      <c r="T34" s="11">
        <v>190695.0854758822</v>
      </c>
      <c r="U34" s="11">
        <v>190695.0854758822</v>
      </c>
      <c r="V34" s="11">
        <v>190695.0854758822</v>
      </c>
      <c r="W34" s="11">
        <v>190695.0854758822</v>
      </c>
      <c r="X34" s="11">
        <v>190695.0854758822</v>
      </c>
      <c r="Y34" s="11">
        <v>190695.0854758822</v>
      </c>
      <c r="Z34" s="11">
        <v>190695.0854758822</v>
      </c>
      <c r="AA34" s="11">
        <v>190695.0854758822</v>
      </c>
      <c r="AB34" s="11">
        <v>190695.0854758822</v>
      </c>
      <c r="AC34" s="11">
        <v>190695.0854758822</v>
      </c>
      <c r="AD34" s="11">
        <v>190695.0854758822</v>
      </c>
      <c r="AE34" s="11">
        <v>190695.0854758822</v>
      </c>
      <c r="AF34" s="11">
        <v>190695.0854758822</v>
      </c>
      <c r="AG34" s="11">
        <v>190695.0854758822</v>
      </c>
      <c r="AH34" s="11">
        <v>190695.0854758822</v>
      </c>
      <c r="AI34" s="11">
        <v>190695.0854758822</v>
      </c>
      <c r="AJ34" s="11">
        <v>190695.0854758822</v>
      </c>
    </row>
    <row r="35" spans="1:36" ht="18" x14ac:dyDescent="0.35">
      <c r="A35" s="4" t="s">
        <v>399</v>
      </c>
      <c r="B35" s="174" t="s">
        <v>402</v>
      </c>
      <c r="D35" s="11">
        <v>190695.0854758822</v>
      </c>
      <c r="E35" s="11">
        <v>190695.0854758822</v>
      </c>
      <c r="F35" s="11">
        <v>190695.0854758822</v>
      </c>
      <c r="G35" s="11">
        <v>190695.0854758822</v>
      </c>
      <c r="H35" s="11">
        <v>190695.0854758822</v>
      </c>
      <c r="I35" s="11">
        <v>190695.0854758822</v>
      </c>
      <c r="J35" s="11">
        <v>190695.0854758822</v>
      </c>
      <c r="K35" s="11">
        <v>190695.0854758822</v>
      </c>
      <c r="L35" s="11">
        <v>190695.0854758822</v>
      </c>
      <c r="M35" s="11">
        <v>190695.0854758822</v>
      </c>
      <c r="N35" s="11">
        <v>190695.0854758822</v>
      </c>
      <c r="O35" s="11">
        <v>190695.0854758822</v>
      </c>
      <c r="P35" s="11">
        <v>190695.0854758822</v>
      </c>
      <c r="Q35" s="11">
        <v>190695.0854758822</v>
      </c>
      <c r="R35" s="11">
        <v>190695.0854758822</v>
      </c>
      <c r="S35" s="11">
        <v>190695.0854758822</v>
      </c>
      <c r="T35" s="11">
        <v>190695.0854758822</v>
      </c>
      <c r="U35" s="11">
        <v>190695.0854758822</v>
      </c>
      <c r="V35" s="11">
        <v>190695.0854758822</v>
      </c>
      <c r="W35" s="11">
        <v>190695.0854758822</v>
      </c>
      <c r="X35" s="11">
        <v>190695.0854758822</v>
      </c>
      <c r="Y35" s="11">
        <v>190695.0854758822</v>
      </c>
      <c r="Z35" s="11">
        <v>190695.0854758822</v>
      </c>
      <c r="AA35" s="11">
        <v>190695.0854758822</v>
      </c>
      <c r="AB35" s="11">
        <v>190695.0854758822</v>
      </c>
      <c r="AC35" s="11">
        <v>190695.0854758822</v>
      </c>
      <c r="AD35" s="11">
        <v>190695.0854758822</v>
      </c>
      <c r="AE35" s="11">
        <v>190695.0854758822</v>
      </c>
      <c r="AF35" s="11">
        <v>190695.0854758822</v>
      </c>
      <c r="AG35" s="11">
        <v>190695.0854758822</v>
      </c>
      <c r="AH35" s="11">
        <v>190695.0854758822</v>
      </c>
      <c r="AI35" s="11">
        <v>190695.0854758822</v>
      </c>
      <c r="AJ35" s="11">
        <v>190695.0854758822</v>
      </c>
    </row>
    <row r="36" spans="1:36" x14ac:dyDescent="0.25">
      <c r="A36" s="4" t="s">
        <v>403</v>
      </c>
      <c r="B36" s="174" t="s">
        <v>404</v>
      </c>
      <c r="D36" s="11">
        <v>5720.8525642764662</v>
      </c>
      <c r="E36" s="11">
        <v>5720.8525642764662</v>
      </c>
      <c r="F36" s="11">
        <v>5720.8525642764662</v>
      </c>
      <c r="G36" s="11">
        <v>5720.8525642764662</v>
      </c>
      <c r="H36" s="11">
        <v>5720.8525642764662</v>
      </c>
      <c r="I36" s="11">
        <v>5720.8525642764662</v>
      </c>
      <c r="J36" s="11">
        <v>5720.8525642764662</v>
      </c>
      <c r="K36" s="11">
        <v>5720.8525642764662</v>
      </c>
      <c r="L36" s="11">
        <v>5720.8525642764662</v>
      </c>
      <c r="M36" s="11">
        <v>5720.8525642764662</v>
      </c>
      <c r="N36" s="11">
        <v>5720.8525642764662</v>
      </c>
      <c r="O36" s="11">
        <v>5720.8525642764662</v>
      </c>
      <c r="P36" s="11">
        <v>5720.8525642764662</v>
      </c>
      <c r="Q36" s="11">
        <v>5720.8525642764662</v>
      </c>
      <c r="R36" s="11">
        <v>5720.8525642764662</v>
      </c>
      <c r="S36" s="11">
        <v>5720.8525642764662</v>
      </c>
      <c r="T36" s="11">
        <v>5720.8525642764662</v>
      </c>
      <c r="U36" s="11">
        <v>5720.8525642764662</v>
      </c>
      <c r="V36" s="11">
        <v>5720.8525642764662</v>
      </c>
      <c r="W36" s="11">
        <v>5720.8525642764662</v>
      </c>
      <c r="X36" s="11">
        <v>5720.8525642764662</v>
      </c>
      <c r="Y36" s="11">
        <v>5720.8525642764662</v>
      </c>
      <c r="Z36" s="11">
        <v>5720.8525642764662</v>
      </c>
      <c r="AA36" s="11">
        <v>5720.8525642764662</v>
      </c>
      <c r="AB36" s="11">
        <v>5720.8525642764662</v>
      </c>
      <c r="AC36" s="11">
        <v>5720.8525642764662</v>
      </c>
      <c r="AD36" s="11">
        <v>5720.8525642764662</v>
      </c>
      <c r="AE36" s="11">
        <v>5720.8525642764662</v>
      </c>
      <c r="AF36" s="11">
        <v>5720.8525642764662</v>
      </c>
      <c r="AG36" s="11">
        <v>5720.8525642764662</v>
      </c>
      <c r="AH36" s="11">
        <v>5720.8525642764662</v>
      </c>
      <c r="AI36" s="11">
        <v>5720.8525642764662</v>
      </c>
      <c r="AJ36" s="11">
        <v>5720.8525642764662</v>
      </c>
    </row>
    <row r="37" spans="1:36" x14ac:dyDescent="0.25">
      <c r="A37" s="4" t="s">
        <v>405</v>
      </c>
      <c r="B37" s="174" t="s">
        <v>406</v>
      </c>
      <c r="D37" s="11">
        <v>1332057.8085859988</v>
      </c>
      <c r="E37" s="11">
        <v>1332057.8085859988</v>
      </c>
      <c r="F37" s="11">
        <v>1332057.8085859988</v>
      </c>
      <c r="G37" s="11">
        <v>1332057.8085859988</v>
      </c>
      <c r="H37" s="11">
        <v>1332057.8085859988</v>
      </c>
      <c r="I37" s="11">
        <v>1332057.8085859988</v>
      </c>
      <c r="J37" s="11">
        <v>1332057.8085859988</v>
      </c>
      <c r="K37" s="11">
        <v>1332057.8085859988</v>
      </c>
      <c r="L37" s="11">
        <v>1332057.8085859988</v>
      </c>
      <c r="M37" s="11">
        <v>1332057.8085859988</v>
      </c>
      <c r="N37" s="11">
        <v>1332057.8085859988</v>
      </c>
      <c r="O37" s="11">
        <v>1332057.8085859988</v>
      </c>
      <c r="P37" s="11">
        <v>1332057.8085859988</v>
      </c>
      <c r="Q37" s="11">
        <v>1332057.8085859988</v>
      </c>
      <c r="R37" s="11">
        <v>1332057.8085859988</v>
      </c>
      <c r="S37" s="11">
        <v>1332057.8085859988</v>
      </c>
      <c r="T37" s="11">
        <v>1332057.8085859988</v>
      </c>
      <c r="U37" s="11">
        <v>1332057.8085859988</v>
      </c>
      <c r="V37" s="11">
        <v>1332057.8085859988</v>
      </c>
      <c r="W37" s="11">
        <v>1332057.8085859988</v>
      </c>
      <c r="X37" s="11">
        <v>1332057.8085859988</v>
      </c>
      <c r="Y37" s="11">
        <v>1332057.8085859988</v>
      </c>
      <c r="Z37" s="11">
        <v>1332057.8085859988</v>
      </c>
      <c r="AA37" s="11">
        <v>1332057.8085859988</v>
      </c>
      <c r="AB37" s="11">
        <v>1332057.8085859988</v>
      </c>
      <c r="AC37" s="11">
        <v>1332057.8085859988</v>
      </c>
      <c r="AD37" s="11">
        <v>1332057.8085859988</v>
      </c>
      <c r="AE37" s="11">
        <v>1332057.8085859988</v>
      </c>
      <c r="AF37" s="11">
        <v>1332057.8085859988</v>
      </c>
      <c r="AG37" s="11">
        <v>1332057.8085859988</v>
      </c>
      <c r="AH37" s="11">
        <v>1332057.8085859988</v>
      </c>
      <c r="AI37" s="11">
        <v>1332057.8085859988</v>
      </c>
      <c r="AJ37" s="11">
        <v>1332057.8085859988</v>
      </c>
    </row>
    <row r="38" spans="1:36" ht="30" x14ac:dyDescent="0.25">
      <c r="A38" s="4" t="s">
        <v>407</v>
      </c>
      <c r="B38" s="174" t="s">
        <v>408</v>
      </c>
      <c r="D38" s="11">
        <v>1402656.8724410564</v>
      </c>
      <c r="E38" s="11">
        <v>1402656.8724410564</v>
      </c>
      <c r="F38" s="11">
        <v>1402656.8724410564</v>
      </c>
      <c r="G38" s="11">
        <v>1402656.8724410564</v>
      </c>
      <c r="H38" s="11">
        <v>1402656.8724410564</v>
      </c>
      <c r="I38" s="11">
        <v>1402656.8724410564</v>
      </c>
      <c r="J38" s="11">
        <v>1402656.8724410564</v>
      </c>
      <c r="K38" s="11">
        <v>1402656.8724410564</v>
      </c>
      <c r="L38" s="11">
        <v>1402656.8724410564</v>
      </c>
      <c r="M38" s="11">
        <v>1402656.8724410564</v>
      </c>
      <c r="N38" s="11">
        <v>1402656.8724410564</v>
      </c>
      <c r="O38" s="11">
        <v>1402656.8724410564</v>
      </c>
      <c r="P38" s="11">
        <v>1402656.8724410564</v>
      </c>
      <c r="Q38" s="11">
        <v>1402656.8724410564</v>
      </c>
      <c r="R38" s="11">
        <v>1402656.8724410564</v>
      </c>
      <c r="S38" s="11">
        <v>1402656.8724410564</v>
      </c>
      <c r="T38" s="11">
        <v>1402656.8724410564</v>
      </c>
      <c r="U38" s="11">
        <v>1402656.8724410564</v>
      </c>
      <c r="V38" s="11">
        <v>1402656.8724410564</v>
      </c>
      <c r="W38" s="11">
        <v>1402656.8724410564</v>
      </c>
      <c r="X38" s="11">
        <v>1402656.8724410564</v>
      </c>
      <c r="Y38" s="11">
        <v>1402656.8724410564</v>
      </c>
      <c r="Z38" s="11">
        <v>1402656.8724410564</v>
      </c>
      <c r="AA38" s="11">
        <v>1402656.8724410564</v>
      </c>
      <c r="AB38" s="11">
        <v>1402656.8724410564</v>
      </c>
      <c r="AC38" s="11">
        <v>1402656.8724410564</v>
      </c>
      <c r="AD38" s="11">
        <v>1402656.8724410564</v>
      </c>
      <c r="AE38" s="11">
        <v>1402656.8724410564</v>
      </c>
      <c r="AF38" s="11">
        <v>1402656.8724410564</v>
      </c>
      <c r="AG38" s="11">
        <v>1402656.8724410564</v>
      </c>
      <c r="AH38" s="11">
        <v>1402656.8724410564</v>
      </c>
      <c r="AI38" s="11">
        <v>1402656.8724410564</v>
      </c>
      <c r="AJ38" s="11">
        <v>1402656.8724410564</v>
      </c>
    </row>
    <row r="39" spans="1:36" ht="18" x14ac:dyDescent="0.35">
      <c r="A39" s="4" t="s">
        <v>409</v>
      </c>
      <c r="B39" s="174" t="s">
        <v>410</v>
      </c>
      <c r="D39" s="11">
        <v>26641.156171719977</v>
      </c>
      <c r="E39" s="11">
        <v>26641.156171719977</v>
      </c>
      <c r="F39" s="11">
        <v>26641.156171719977</v>
      </c>
      <c r="G39" s="11">
        <v>26641.156171719977</v>
      </c>
      <c r="H39" s="11">
        <v>26641.156171719977</v>
      </c>
      <c r="I39" s="11">
        <v>26641.156171719977</v>
      </c>
      <c r="J39" s="11">
        <v>26641.156171719977</v>
      </c>
      <c r="K39" s="11">
        <v>26641.156171719977</v>
      </c>
      <c r="L39" s="11">
        <v>26641.156171719977</v>
      </c>
      <c r="M39" s="11">
        <v>26641.156171719977</v>
      </c>
      <c r="N39" s="11">
        <v>26641.156171719977</v>
      </c>
      <c r="O39" s="11">
        <v>26641.156171719977</v>
      </c>
      <c r="P39" s="11">
        <v>26641.156171719977</v>
      </c>
      <c r="Q39" s="11">
        <v>26641.156171719977</v>
      </c>
      <c r="R39" s="11">
        <v>26641.156171719977</v>
      </c>
      <c r="S39" s="11">
        <v>26641.156171719977</v>
      </c>
      <c r="T39" s="11">
        <v>26641.156171719977</v>
      </c>
      <c r="U39" s="11">
        <v>26641.156171719977</v>
      </c>
      <c r="V39" s="11">
        <v>26641.156171719977</v>
      </c>
      <c r="W39" s="11">
        <v>26641.156171719977</v>
      </c>
      <c r="X39" s="11">
        <v>26641.156171719977</v>
      </c>
      <c r="Y39" s="11">
        <v>26641.156171719977</v>
      </c>
      <c r="Z39" s="11">
        <v>26641.156171719977</v>
      </c>
      <c r="AA39" s="11">
        <v>26641.156171719977</v>
      </c>
      <c r="AB39" s="11">
        <v>26641.156171719977</v>
      </c>
      <c r="AC39" s="11">
        <v>26641.156171719977</v>
      </c>
      <c r="AD39" s="11">
        <v>26641.156171719977</v>
      </c>
      <c r="AE39" s="11">
        <v>26641.156171719977</v>
      </c>
      <c r="AF39" s="11">
        <v>26641.156171719977</v>
      </c>
      <c r="AG39" s="11">
        <v>26641.156171719977</v>
      </c>
      <c r="AH39" s="11">
        <v>26641.156171719977</v>
      </c>
      <c r="AI39" s="11">
        <v>26641.156171719977</v>
      </c>
      <c r="AJ39" s="11">
        <v>26641.156171719977</v>
      </c>
    </row>
    <row r="40" spans="1:36" x14ac:dyDescent="0.25">
      <c r="A40" s="4" t="s">
        <v>411</v>
      </c>
      <c r="B40" s="174" t="s">
        <v>412</v>
      </c>
      <c r="D40" s="11">
        <v>2463550.0948564918</v>
      </c>
      <c r="E40" s="11">
        <v>2463550.0948564918</v>
      </c>
      <c r="F40" s="11">
        <v>2463550.0948564918</v>
      </c>
      <c r="G40" s="11">
        <v>2463550.0948564918</v>
      </c>
      <c r="H40" s="11">
        <v>2463550.0948564918</v>
      </c>
      <c r="I40" s="11">
        <v>2463550.0948564918</v>
      </c>
      <c r="J40" s="11">
        <v>2463550.0948564918</v>
      </c>
      <c r="K40" s="11">
        <v>2463550.0948564918</v>
      </c>
      <c r="L40" s="11">
        <v>2463550.0948564918</v>
      </c>
      <c r="M40" s="11">
        <v>2463550.0948564918</v>
      </c>
      <c r="N40" s="11">
        <v>2463550.0948564918</v>
      </c>
      <c r="O40" s="11">
        <v>2463550.0948564918</v>
      </c>
      <c r="P40" s="11">
        <v>2463550.0948564918</v>
      </c>
      <c r="Q40" s="11">
        <v>2463550.0948564918</v>
      </c>
      <c r="R40" s="11">
        <v>2463550.0948564918</v>
      </c>
      <c r="S40" s="11">
        <v>2463550.0948564918</v>
      </c>
      <c r="T40" s="11">
        <v>2463550.0948564918</v>
      </c>
      <c r="U40" s="11">
        <v>2463550.0948564918</v>
      </c>
      <c r="V40" s="11">
        <v>2463550.0948564918</v>
      </c>
      <c r="W40" s="11">
        <v>2463550.0948564918</v>
      </c>
      <c r="X40" s="11">
        <v>2463550.0948564918</v>
      </c>
      <c r="Y40" s="11">
        <v>2463550.0948564918</v>
      </c>
      <c r="Z40" s="11">
        <v>2463550.0948564918</v>
      </c>
      <c r="AA40" s="11">
        <v>2463550.0948564918</v>
      </c>
      <c r="AB40" s="11">
        <v>2463550.0948564918</v>
      </c>
      <c r="AC40" s="11">
        <v>2463550.0948564918</v>
      </c>
      <c r="AD40" s="11">
        <v>2463550.0948564918</v>
      </c>
      <c r="AE40" s="11">
        <v>2463550.0948564918</v>
      </c>
      <c r="AF40" s="11">
        <v>2463550.0948564918</v>
      </c>
      <c r="AG40" s="11">
        <v>2463550.0948564918</v>
      </c>
      <c r="AH40" s="11">
        <v>2463550.0948564918</v>
      </c>
      <c r="AI40" s="11">
        <v>2463550.0948564918</v>
      </c>
      <c r="AJ40" s="11">
        <v>2463550.0948564918</v>
      </c>
    </row>
    <row r="41" spans="1:36" ht="18" x14ac:dyDescent="0.35">
      <c r="A41" s="4" t="s">
        <v>413</v>
      </c>
      <c r="B41" s="174" t="s">
        <v>414</v>
      </c>
      <c r="D41" s="11">
        <v>26521.32142568241</v>
      </c>
      <c r="E41" s="11">
        <v>26521.32142568241</v>
      </c>
      <c r="F41" s="11">
        <v>26521.32142568241</v>
      </c>
      <c r="G41" s="11">
        <v>26521.32142568241</v>
      </c>
      <c r="H41" s="11">
        <v>26521.32142568241</v>
      </c>
      <c r="I41" s="11">
        <v>26521.32142568241</v>
      </c>
      <c r="J41" s="11">
        <v>26521.32142568241</v>
      </c>
      <c r="K41" s="11">
        <v>26521.32142568241</v>
      </c>
      <c r="L41" s="11">
        <v>26521.32142568241</v>
      </c>
      <c r="M41" s="11">
        <v>26521.32142568241</v>
      </c>
      <c r="N41" s="11">
        <v>26521.32142568241</v>
      </c>
      <c r="O41" s="11">
        <v>26521.32142568241</v>
      </c>
      <c r="P41" s="11">
        <v>26521.32142568241</v>
      </c>
      <c r="Q41" s="11">
        <v>26521.32142568241</v>
      </c>
      <c r="R41" s="11">
        <v>26521.32142568241</v>
      </c>
      <c r="S41" s="11">
        <v>26521.32142568241</v>
      </c>
      <c r="T41" s="11">
        <v>26521.32142568241</v>
      </c>
      <c r="U41" s="11">
        <v>26521.32142568241</v>
      </c>
      <c r="V41" s="11">
        <v>26521.32142568241</v>
      </c>
      <c r="W41" s="11">
        <v>26521.32142568241</v>
      </c>
      <c r="X41" s="11">
        <v>26521.32142568241</v>
      </c>
      <c r="Y41" s="11">
        <v>26521.32142568241</v>
      </c>
      <c r="Z41" s="11">
        <v>26521.32142568241</v>
      </c>
      <c r="AA41" s="11">
        <v>26521.32142568241</v>
      </c>
      <c r="AB41" s="11">
        <v>26521.32142568241</v>
      </c>
      <c r="AC41" s="11">
        <v>26521.32142568241</v>
      </c>
      <c r="AD41" s="11">
        <v>26521.32142568241</v>
      </c>
      <c r="AE41" s="11">
        <v>26521.32142568241</v>
      </c>
      <c r="AF41" s="11">
        <v>26521.32142568241</v>
      </c>
      <c r="AG41" s="11">
        <v>26521.32142568241</v>
      </c>
      <c r="AH41" s="11">
        <v>26521.32142568241</v>
      </c>
      <c r="AI41" s="11">
        <v>26521.32142568241</v>
      </c>
      <c r="AJ41" s="11">
        <v>26521.32142568241</v>
      </c>
    </row>
    <row r="42" spans="1:36" ht="18" x14ac:dyDescent="0.35">
      <c r="A42" s="4" t="s">
        <v>415</v>
      </c>
      <c r="B42" s="174" t="s">
        <v>416</v>
      </c>
      <c r="D42" s="11">
        <v>35333401.01101432</v>
      </c>
      <c r="E42" s="11">
        <v>35333401.01101432</v>
      </c>
      <c r="F42" s="11">
        <v>35333401.01101432</v>
      </c>
      <c r="G42" s="11">
        <v>35333401.01101432</v>
      </c>
      <c r="H42" s="11">
        <v>35333401.01101432</v>
      </c>
      <c r="I42" s="11">
        <v>35333401.01101432</v>
      </c>
      <c r="J42" s="11">
        <v>35333401.01101432</v>
      </c>
      <c r="K42" s="11">
        <v>35333401.01101432</v>
      </c>
      <c r="L42" s="11">
        <v>35333401.01101432</v>
      </c>
      <c r="M42" s="11">
        <v>35333401.01101432</v>
      </c>
      <c r="N42" s="11">
        <v>35333401.01101432</v>
      </c>
      <c r="O42" s="11">
        <v>35333401.01101432</v>
      </c>
      <c r="P42" s="11">
        <v>35333401.01101432</v>
      </c>
      <c r="Q42" s="11">
        <v>35333401.01101432</v>
      </c>
      <c r="R42" s="11">
        <v>35333401.01101432</v>
      </c>
      <c r="S42" s="11">
        <v>35333401.01101432</v>
      </c>
      <c r="T42" s="11">
        <v>35333401.01101432</v>
      </c>
      <c r="U42" s="11">
        <v>35333401.01101432</v>
      </c>
      <c r="V42" s="11">
        <v>35333401.01101432</v>
      </c>
      <c r="W42" s="11">
        <v>35333401.01101432</v>
      </c>
      <c r="X42" s="11">
        <v>35333401.01101432</v>
      </c>
      <c r="Y42" s="11">
        <v>35333401.01101432</v>
      </c>
      <c r="Z42" s="11">
        <v>35333401.01101432</v>
      </c>
      <c r="AA42" s="11">
        <v>35333401.01101432</v>
      </c>
      <c r="AB42" s="11">
        <v>35333401.01101432</v>
      </c>
      <c r="AC42" s="11">
        <v>35333401.01101432</v>
      </c>
      <c r="AD42" s="11">
        <v>35333401.01101432</v>
      </c>
      <c r="AE42" s="11">
        <v>35333401.01101432</v>
      </c>
      <c r="AF42" s="11">
        <v>35333401.01101432</v>
      </c>
      <c r="AG42" s="11">
        <v>35333401.01101432</v>
      </c>
      <c r="AH42" s="11">
        <v>35333401.01101432</v>
      </c>
      <c r="AI42" s="11">
        <v>35333401.01101432</v>
      </c>
      <c r="AJ42" s="11">
        <v>35333401.01101432</v>
      </c>
    </row>
    <row r="43" spans="1:36" ht="18" x14ac:dyDescent="0.35">
      <c r="A43" s="4" t="s">
        <v>417</v>
      </c>
      <c r="B43" s="174" t="s">
        <v>418</v>
      </c>
      <c r="D43" s="11">
        <v>629607.74184808962</v>
      </c>
      <c r="E43" s="11">
        <v>629607.74184808962</v>
      </c>
      <c r="F43" s="11">
        <v>629607.74184808962</v>
      </c>
      <c r="G43" s="11">
        <v>629607.74184808962</v>
      </c>
      <c r="H43" s="11">
        <v>629607.74184808962</v>
      </c>
      <c r="I43" s="11">
        <v>629607.74184808962</v>
      </c>
      <c r="J43" s="11">
        <v>629607.74184808962</v>
      </c>
      <c r="K43" s="11">
        <v>629607.74184808962</v>
      </c>
      <c r="L43" s="11">
        <v>629607.74184808962</v>
      </c>
      <c r="M43" s="11">
        <v>629607.74184808962</v>
      </c>
      <c r="N43" s="11">
        <v>629607.74184808962</v>
      </c>
      <c r="O43" s="11">
        <v>629607.74184808962</v>
      </c>
      <c r="P43" s="11">
        <v>629607.74184808962</v>
      </c>
      <c r="Q43" s="11">
        <v>629607.74184808962</v>
      </c>
      <c r="R43" s="11">
        <v>629607.74184808962</v>
      </c>
      <c r="S43" s="11">
        <v>629607.74184808962</v>
      </c>
      <c r="T43" s="11">
        <v>629607.74184808962</v>
      </c>
      <c r="U43" s="11">
        <v>629607.74184808962</v>
      </c>
      <c r="V43" s="11">
        <v>629607.74184808962</v>
      </c>
      <c r="W43" s="11">
        <v>629607.74184808962</v>
      </c>
      <c r="X43" s="11">
        <v>629607.74184808962</v>
      </c>
      <c r="Y43" s="11">
        <v>629607.74184808962</v>
      </c>
      <c r="Z43" s="11">
        <v>629607.74184808962</v>
      </c>
      <c r="AA43" s="11">
        <v>629607.74184808962</v>
      </c>
      <c r="AB43" s="11">
        <v>629607.74184808962</v>
      </c>
      <c r="AC43" s="11">
        <v>629607.74184808962</v>
      </c>
      <c r="AD43" s="11">
        <v>629607.74184808962</v>
      </c>
      <c r="AE43" s="11">
        <v>629607.74184808962</v>
      </c>
      <c r="AF43" s="11">
        <v>629607.74184808962</v>
      </c>
      <c r="AG43" s="11">
        <v>629607.74184808962</v>
      </c>
      <c r="AH43" s="11">
        <v>629607.74184808962</v>
      </c>
      <c r="AI43" s="11">
        <v>629607.74184808962</v>
      </c>
      <c r="AJ43" s="11">
        <v>629607.74184808962</v>
      </c>
    </row>
    <row r="44" spans="1:36" x14ac:dyDescent="0.25">
      <c r="D44" s="11"/>
      <c r="E44" s="11"/>
      <c r="F44" s="11"/>
      <c r="G44" s="11"/>
      <c r="H44" s="11"/>
      <c r="I44" s="11"/>
      <c r="J44" s="11"/>
      <c r="K44" s="11"/>
      <c r="L44" s="11"/>
      <c r="M44" s="11"/>
      <c r="N44" s="11"/>
      <c r="O44" s="11"/>
      <c r="P44" s="11"/>
      <c r="Q44" s="11"/>
      <c r="R44" s="11"/>
      <c r="S44" s="11"/>
      <c r="T44" s="11"/>
      <c r="U44" s="11"/>
      <c r="V44" s="11"/>
      <c r="W44" s="11"/>
      <c r="X44" s="11"/>
    </row>
    <row r="45" spans="1:36" x14ac:dyDescent="0.25">
      <c r="A45" s="175" t="s">
        <v>420</v>
      </c>
      <c r="B45" s="176"/>
      <c r="C45" s="176"/>
      <c r="D45" s="178"/>
      <c r="E45" s="178"/>
      <c r="F45" s="178"/>
      <c r="G45" s="178"/>
      <c r="H45" s="178"/>
      <c r="I45" s="178"/>
      <c r="J45" s="178"/>
      <c r="K45" s="178"/>
      <c r="L45" s="178"/>
      <c r="M45" s="178"/>
      <c r="N45" s="178"/>
      <c r="O45" s="178"/>
      <c r="P45" s="178"/>
      <c r="Q45" s="178"/>
      <c r="R45" s="178"/>
      <c r="S45" s="178"/>
      <c r="T45" s="178"/>
      <c r="U45" s="178"/>
      <c r="V45" s="178"/>
      <c r="W45" s="178"/>
      <c r="X45" s="178"/>
      <c r="Y45" s="178"/>
      <c r="Z45" s="178"/>
      <c r="AA45" s="178"/>
      <c r="AB45" s="178"/>
      <c r="AC45" s="178"/>
      <c r="AD45" s="178"/>
      <c r="AE45" s="178"/>
      <c r="AF45" s="178"/>
      <c r="AG45" s="178"/>
      <c r="AH45" s="178"/>
      <c r="AI45" s="178"/>
      <c r="AJ45" s="178"/>
    </row>
    <row r="46" spans="1:36" x14ac:dyDescent="0.25">
      <c r="A46" s="4" t="s">
        <v>396</v>
      </c>
      <c r="B46" s="174" t="s">
        <v>91</v>
      </c>
      <c r="D46" s="11">
        <v>185406.19130880001</v>
      </c>
      <c r="E46" s="11">
        <v>185406.19130880001</v>
      </c>
      <c r="F46" s="11">
        <v>185406.19130880001</v>
      </c>
      <c r="G46" s="11">
        <v>185406.19130880001</v>
      </c>
      <c r="H46" s="11">
        <v>185406.19130880001</v>
      </c>
      <c r="I46" s="11">
        <v>185406.19130880001</v>
      </c>
      <c r="J46" s="11">
        <v>185406.19130880001</v>
      </c>
      <c r="K46" s="11">
        <v>185406.19130880001</v>
      </c>
      <c r="L46" s="11">
        <v>185406.19130880001</v>
      </c>
      <c r="M46" s="11">
        <v>185406.19130880001</v>
      </c>
      <c r="N46" s="11">
        <v>185406.19130880001</v>
      </c>
      <c r="O46" s="11">
        <v>185406.19130880001</v>
      </c>
      <c r="P46" s="11">
        <v>185406.19130880001</v>
      </c>
      <c r="Q46" s="11">
        <v>185406.19130880001</v>
      </c>
      <c r="R46" s="11">
        <v>185406.19130880001</v>
      </c>
      <c r="S46" s="11">
        <v>185406.19130880001</v>
      </c>
      <c r="T46" s="11">
        <v>185406.19130880001</v>
      </c>
      <c r="U46" s="11">
        <v>185406.19130880001</v>
      </c>
      <c r="V46" s="11">
        <v>185406.19130880001</v>
      </c>
      <c r="W46" s="11">
        <v>185406.19130880001</v>
      </c>
      <c r="X46" s="11">
        <v>185406.19130880001</v>
      </c>
      <c r="Y46" s="11">
        <v>185406.19130880001</v>
      </c>
      <c r="Z46" s="11">
        <v>185406.19130880001</v>
      </c>
      <c r="AA46" s="11">
        <v>185406.19130880001</v>
      </c>
      <c r="AB46" s="11">
        <v>185406.19130880001</v>
      </c>
      <c r="AC46" s="11">
        <v>185406.19130880001</v>
      </c>
      <c r="AD46" s="11">
        <v>185406.19130880001</v>
      </c>
      <c r="AE46" s="11">
        <v>185406.19130880001</v>
      </c>
      <c r="AF46" s="11">
        <v>185406.19130880001</v>
      </c>
      <c r="AG46" s="11">
        <v>185406.19130880001</v>
      </c>
      <c r="AH46" s="11">
        <v>185406.19130880001</v>
      </c>
      <c r="AI46" s="11">
        <v>185406.19130880001</v>
      </c>
      <c r="AJ46" s="11">
        <v>185406.19130880001</v>
      </c>
    </row>
    <row r="47" spans="1:36" ht="18" x14ac:dyDescent="0.35">
      <c r="A47" s="4" t="s">
        <v>397</v>
      </c>
      <c r="B47" s="174" t="s">
        <v>398</v>
      </c>
      <c r="D47" s="11">
        <v>3349.8107403494027</v>
      </c>
      <c r="E47" s="11">
        <v>3349.8107403494027</v>
      </c>
      <c r="F47" s="11">
        <v>3349.8107403494027</v>
      </c>
      <c r="G47" s="11">
        <v>3349.8107403494027</v>
      </c>
      <c r="H47" s="11">
        <v>3349.8107403494027</v>
      </c>
      <c r="I47" s="11">
        <v>3349.8107403494027</v>
      </c>
      <c r="J47" s="11">
        <v>3349.8107403494027</v>
      </c>
      <c r="K47" s="11">
        <v>3349.8107403494027</v>
      </c>
      <c r="L47" s="11">
        <v>3349.8107403494027</v>
      </c>
      <c r="M47" s="11">
        <v>3349.8107403494027</v>
      </c>
      <c r="N47" s="11">
        <v>3349.8107403494027</v>
      </c>
      <c r="O47" s="11">
        <v>3349.8107403494027</v>
      </c>
      <c r="P47" s="11">
        <v>3349.8107403494027</v>
      </c>
      <c r="Q47" s="11">
        <v>3349.8107403494027</v>
      </c>
      <c r="R47" s="11">
        <v>3349.8107403494027</v>
      </c>
      <c r="S47" s="11">
        <v>3349.8107403494027</v>
      </c>
      <c r="T47" s="11">
        <v>3349.8107403494027</v>
      </c>
      <c r="U47" s="11">
        <v>3349.8107403494027</v>
      </c>
      <c r="V47" s="11">
        <v>3349.8107403494027</v>
      </c>
      <c r="W47" s="11">
        <v>3349.8107403494027</v>
      </c>
      <c r="X47" s="11">
        <v>3349.8107403494027</v>
      </c>
      <c r="Y47" s="11">
        <v>3349.8107403494027</v>
      </c>
      <c r="Z47" s="11">
        <v>3349.8107403494027</v>
      </c>
      <c r="AA47" s="11">
        <v>3349.8107403494027</v>
      </c>
      <c r="AB47" s="11">
        <v>3349.8107403494027</v>
      </c>
      <c r="AC47" s="11">
        <v>3349.8107403494027</v>
      </c>
      <c r="AD47" s="11">
        <v>3349.8107403494027</v>
      </c>
      <c r="AE47" s="11">
        <v>3349.8107403494027</v>
      </c>
      <c r="AF47" s="11">
        <v>3349.8107403494027</v>
      </c>
      <c r="AG47" s="11">
        <v>3349.8107403494027</v>
      </c>
      <c r="AH47" s="11">
        <v>3349.8107403494027</v>
      </c>
      <c r="AI47" s="11">
        <v>3349.8107403494027</v>
      </c>
      <c r="AJ47" s="11">
        <v>3349.8107403494027</v>
      </c>
    </row>
    <row r="48" spans="1:36" ht="18" x14ac:dyDescent="0.35">
      <c r="A48" s="4" t="s">
        <v>399</v>
      </c>
      <c r="B48" s="174" t="s">
        <v>400</v>
      </c>
      <c r="D48" s="11">
        <v>3349.8107403494027</v>
      </c>
      <c r="E48" s="11">
        <v>3349.8107403494027</v>
      </c>
      <c r="F48" s="11">
        <v>3349.8107403494027</v>
      </c>
      <c r="G48" s="11">
        <v>3349.8107403494027</v>
      </c>
      <c r="H48" s="11">
        <v>3349.8107403494027</v>
      </c>
      <c r="I48" s="11">
        <v>3349.8107403494027</v>
      </c>
      <c r="J48" s="11">
        <v>3349.8107403494027</v>
      </c>
      <c r="K48" s="11">
        <v>3349.8107403494027</v>
      </c>
      <c r="L48" s="11">
        <v>3349.8107403494027</v>
      </c>
      <c r="M48" s="11">
        <v>3349.8107403494027</v>
      </c>
      <c r="N48" s="11">
        <v>3349.8107403494027</v>
      </c>
      <c r="O48" s="11">
        <v>3349.8107403494027</v>
      </c>
      <c r="P48" s="11">
        <v>3349.8107403494027</v>
      </c>
      <c r="Q48" s="11">
        <v>3349.8107403494027</v>
      </c>
      <c r="R48" s="11">
        <v>3349.8107403494027</v>
      </c>
      <c r="S48" s="11">
        <v>3349.8107403494027</v>
      </c>
      <c r="T48" s="11">
        <v>3349.8107403494027</v>
      </c>
      <c r="U48" s="11">
        <v>3349.8107403494027</v>
      </c>
      <c r="V48" s="11">
        <v>3349.8107403494027</v>
      </c>
      <c r="W48" s="11">
        <v>3349.8107403494027</v>
      </c>
      <c r="X48" s="11">
        <v>3349.8107403494027</v>
      </c>
      <c r="Y48" s="11">
        <v>3349.8107403494027</v>
      </c>
      <c r="Z48" s="11">
        <v>3349.8107403494027</v>
      </c>
      <c r="AA48" s="11">
        <v>3349.8107403494027</v>
      </c>
      <c r="AB48" s="11">
        <v>3349.8107403494027</v>
      </c>
      <c r="AC48" s="11">
        <v>3349.8107403494027</v>
      </c>
      <c r="AD48" s="11">
        <v>3349.8107403494027</v>
      </c>
      <c r="AE48" s="11">
        <v>3349.8107403494027</v>
      </c>
      <c r="AF48" s="11">
        <v>3349.8107403494027</v>
      </c>
      <c r="AG48" s="11">
        <v>3349.8107403494027</v>
      </c>
      <c r="AH48" s="11">
        <v>3349.8107403494027</v>
      </c>
      <c r="AI48" s="11">
        <v>3349.8107403494027</v>
      </c>
      <c r="AJ48" s="11">
        <v>3349.8107403494027</v>
      </c>
    </row>
    <row r="49" spans="1:36" ht="18" x14ac:dyDescent="0.35">
      <c r="A49" s="4" t="s">
        <v>397</v>
      </c>
      <c r="B49" s="174" t="s">
        <v>401</v>
      </c>
      <c r="D49" s="11">
        <v>3081.8258811214514</v>
      </c>
      <c r="E49" s="11">
        <v>3081.8258811214514</v>
      </c>
      <c r="F49" s="11">
        <v>3081.8258811214514</v>
      </c>
      <c r="G49" s="11">
        <v>3081.8258811214514</v>
      </c>
      <c r="H49" s="11">
        <v>3081.8258811214514</v>
      </c>
      <c r="I49" s="11">
        <v>3081.8258811214514</v>
      </c>
      <c r="J49" s="11">
        <v>3081.8258811214514</v>
      </c>
      <c r="K49" s="11">
        <v>3081.8258811214514</v>
      </c>
      <c r="L49" s="11">
        <v>3081.8258811214514</v>
      </c>
      <c r="M49" s="11">
        <v>3081.8258811214514</v>
      </c>
      <c r="N49" s="11">
        <v>3081.8258811214514</v>
      </c>
      <c r="O49" s="11">
        <v>3081.8258811214514</v>
      </c>
      <c r="P49" s="11">
        <v>3081.8258811214514</v>
      </c>
      <c r="Q49" s="11">
        <v>3081.8258811214514</v>
      </c>
      <c r="R49" s="11">
        <v>3081.8258811214514</v>
      </c>
      <c r="S49" s="11">
        <v>3081.8258811214514</v>
      </c>
      <c r="T49" s="11">
        <v>3081.8258811214514</v>
      </c>
      <c r="U49" s="11">
        <v>3081.8258811214514</v>
      </c>
      <c r="V49" s="11">
        <v>3081.8258811214514</v>
      </c>
      <c r="W49" s="11">
        <v>3081.8258811214514</v>
      </c>
      <c r="X49" s="11">
        <v>3081.8258811214514</v>
      </c>
      <c r="Y49" s="11">
        <v>3081.8258811214514</v>
      </c>
      <c r="Z49" s="11">
        <v>3081.8258811214514</v>
      </c>
      <c r="AA49" s="11">
        <v>3081.8258811214514</v>
      </c>
      <c r="AB49" s="11">
        <v>3081.8258811214514</v>
      </c>
      <c r="AC49" s="11">
        <v>3081.8258811214514</v>
      </c>
      <c r="AD49" s="11">
        <v>3081.8258811214514</v>
      </c>
      <c r="AE49" s="11">
        <v>3081.8258811214514</v>
      </c>
      <c r="AF49" s="11">
        <v>3081.8258811214514</v>
      </c>
      <c r="AG49" s="11">
        <v>3081.8258811214514</v>
      </c>
      <c r="AH49" s="11">
        <v>3081.8258811214514</v>
      </c>
      <c r="AI49" s="11">
        <v>3081.8258811214514</v>
      </c>
      <c r="AJ49" s="11">
        <v>3081.8258811214514</v>
      </c>
    </row>
    <row r="50" spans="1:36" ht="18" x14ac:dyDescent="0.35">
      <c r="A50" s="4" t="s">
        <v>399</v>
      </c>
      <c r="B50" s="174" t="s">
        <v>402</v>
      </c>
      <c r="D50" s="11">
        <v>3081.8258811214514</v>
      </c>
      <c r="E50" s="11">
        <v>3081.8258811214514</v>
      </c>
      <c r="F50" s="11">
        <v>3081.8258811214514</v>
      </c>
      <c r="G50" s="11">
        <v>3081.8258811214514</v>
      </c>
      <c r="H50" s="11">
        <v>3081.8258811214514</v>
      </c>
      <c r="I50" s="11">
        <v>3081.8258811214514</v>
      </c>
      <c r="J50" s="11">
        <v>3081.8258811214514</v>
      </c>
      <c r="K50" s="11">
        <v>3081.8258811214514</v>
      </c>
      <c r="L50" s="11">
        <v>3081.8258811214514</v>
      </c>
      <c r="M50" s="11">
        <v>3081.8258811214514</v>
      </c>
      <c r="N50" s="11">
        <v>3081.8258811214514</v>
      </c>
      <c r="O50" s="11">
        <v>3081.8258811214514</v>
      </c>
      <c r="P50" s="11">
        <v>3081.8258811214514</v>
      </c>
      <c r="Q50" s="11">
        <v>3081.8258811214514</v>
      </c>
      <c r="R50" s="11">
        <v>3081.8258811214514</v>
      </c>
      <c r="S50" s="11">
        <v>3081.8258811214514</v>
      </c>
      <c r="T50" s="11">
        <v>3081.8258811214514</v>
      </c>
      <c r="U50" s="11">
        <v>3081.8258811214514</v>
      </c>
      <c r="V50" s="11">
        <v>3081.8258811214514</v>
      </c>
      <c r="W50" s="11">
        <v>3081.8258811214514</v>
      </c>
      <c r="X50" s="11">
        <v>3081.8258811214514</v>
      </c>
      <c r="Y50" s="11">
        <v>3081.8258811214514</v>
      </c>
      <c r="Z50" s="11">
        <v>3081.8258811214514</v>
      </c>
      <c r="AA50" s="11">
        <v>3081.8258811214514</v>
      </c>
      <c r="AB50" s="11">
        <v>3081.8258811214514</v>
      </c>
      <c r="AC50" s="11">
        <v>3081.8258811214514</v>
      </c>
      <c r="AD50" s="11">
        <v>3081.8258811214514</v>
      </c>
      <c r="AE50" s="11">
        <v>3081.8258811214514</v>
      </c>
      <c r="AF50" s="11">
        <v>3081.8258811214514</v>
      </c>
      <c r="AG50" s="11">
        <v>3081.8258811214514</v>
      </c>
      <c r="AH50" s="11">
        <v>3081.8258811214514</v>
      </c>
      <c r="AI50" s="11">
        <v>3081.8258811214514</v>
      </c>
      <c r="AJ50" s="11">
        <v>3081.8258811214514</v>
      </c>
    </row>
    <row r="51" spans="1:36" x14ac:dyDescent="0.25">
      <c r="A51" s="4" t="s">
        <v>403</v>
      </c>
      <c r="B51" s="174" t="s">
        <v>404</v>
      </c>
      <c r="D51" s="11">
        <v>92.454776433643531</v>
      </c>
      <c r="E51" s="11">
        <v>92.454776433643531</v>
      </c>
      <c r="F51" s="11">
        <v>92.454776433643531</v>
      </c>
      <c r="G51" s="11">
        <v>92.454776433643531</v>
      </c>
      <c r="H51" s="11">
        <v>92.454776433643531</v>
      </c>
      <c r="I51" s="11">
        <v>92.454776433643531</v>
      </c>
      <c r="J51" s="11">
        <v>92.454776433643531</v>
      </c>
      <c r="K51" s="11">
        <v>92.454776433643531</v>
      </c>
      <c r="L51" s="11">
        <v>92.454776433643531</v>
      </c>
      <c r="M51" s="11">
        <v>92.454776433643531</v>
      </c>
      <c r="N51" s="11">
        <v>92.454776433643531</v>
      </c>
      <c r="O51" s="11">
        <v>92.454776433643531</v>
      </c>
      <c r="P51" s="11">
        <v>92.454776433643531</v>
      </c>
      <c r="Q51" s="11">
        <v>92.454776433643531</v>
      </c>
      <c r="R51" s="11">
        <v>92.454776433643531</v>
      </c>
      <c r="S51" s="11">
        <v>92.454776433643531</v>
      </c>
      <c r="T51" s="11">
        <v>92.454776433643531</v>
      </c>
      <c r="U51" s="11">
        <v>92.454776433643531</v>
      </c>
      <c r="V51" s="11">
        <v>92.454776433643531</v>
      </c>
      <c r="W51" s="11">
        <v>92.454776433643531</v>
      </c>
      <c r="X51" s="11">
        <v>92.454776433643531</v>
      </c>
      <c r="Y51" s="11">
        <v>92.454776433643531</v>
      </c>
      <c r="Z51" s="11">
        <v>92.454776433643531</v>
      </c>
      <c r="AA51" s="11">
        <v>92.454776433643531</v>
      </c>
      <c r="AB51" s="11">
        <v>92.454776433643531</v>
      </c>
      <c r="AC51" s="11">
        <v>92.454776433643531</v>
      </c>
      <c r="AD51" s="11">
        <v>92.454776433643531</v>
      </c>
      <c r="AE51" s="11">
        <v>92.454776433643531</v>
      </c>
      <c r="AF51" s="11">
        <v>92.454776433643531</v>
      </c>
      <c r="AG51" s="11">
        <v>92.454776433643531</v>
      </c>
      <c r="AH51" s="11">
        <v>92.454776433643531</v>
      </c>
      <c r="AI51" s="11">
        <v>92.454776433643531</v>
      </c>
      <c r="AJ51" s="11">
        <v>92.454776433643531</v>
      </c>
    </row>
    <row r="52" spans="1:36" x14ac:dyDescent="0.25">
      <c r="A52" s="4" t="s">
        <v>405</v>
      </c>
      <c r="B52" s="174" t="s">
        <v>406</v>
      </c>
      <c r="D52" s="11">
        <v>31805.370938880005</v>
      </c>
      <c r="E52" s="11">
        <v>31805.370938880005</v>
      </c>
      <c r="F52" s="11">
        <v>31805.370938880005</v>
      </c>
      <c r="G52" s="11">
        <v>31805.370938880005</v>
      </c>
      <c r="H52" s="11">
        <v>31805.370938880005</v>
      </c>
      <c r="I52" s="11">
        <v>31805.370938880005</v>
      </c>
      <c r="J52" s="11">
        <v>31805.370938880005</v>
      </c>
      <c r="K52" s="11">
        <v>31805.370938880005</v>
      </c>
      <c r="L52" s="11">
        <v>31805.370938880005</v>
      </c>
      <c r="M52" s="11">
        <v>31805.370938880005</v>
      </c>
      <c r="N52" s="11">
        <v>31805.370938880005</v>
      </c>
      <c r="O52" s="11">
        <v>31805.370938880005</v>
      </c>
      <c r="P52" s="11">
        <v>31805.370938880005</v>
      </c>
      <c r="Q52" s="11">
        <v>31805.370938880005</v>
      </c>
      <c r="R52" s="11">
        <v>31805.370938880005</v>
      </c>
      <c r="S52" s="11">
        <v>31805.370938880005</v>
      </c>
      <c r="T52" s="11">
        <v>31805.370938880005</v>
      </c>
      <c r="U52" s="11">
        <v>31805.370938880005</v>
      </c>
      <c r="V52" s="11">
        <v>31805.370938880005</v>
      </c>
      <c r="W52" s="11">
        <v>31805.370938880005</v>
      </c>
      <c r="X52" s="11">
        <v>31805.370938880005</v>
      </c>
      <c r="Y52" s="11">
        <v>31805.370938880005</v>
      </c>
      <c r="Z52" s="11">
        <v>31805.370938880005</v>
      </c>
      <c r="AA52" s="11">
        <v>31805.370938880005</v>
      </c>
      <c r="AB52" s="11">
        <v>31805.370938880005</v>
      </c>
      <c r="AC52" s="11">
        <v>31805.370938880005</v>
      </c>
      <c r="AD52" s="11">
        <v>31805.370938880005</v>
      </c>
      <c r="AE52" s="11">
        <v>31805.370938880005</v>
      </c>
      <c r="AF52" s="11">
        <v>31805.370938880005</v>
      </c>
      <c r="AG52" s="11">
        <v>31805.370938880005</v>
      </c>
      <c r="AH52" s="11">
        <v>31805.370938880005</v>
      </c>
      <c r="AI52" s="11">
        <v>31805.370938880005</v>
      </c>
      <c r="AJ52" s="11">
        <v>31805.370938880005</v>
      </c>
    </row>
    <row r="53" spans="1:36" ht="30" x14ac:dyDescent="0.25">
      <c r="A53" s="4" t="s">
        <v>407</v>
      </c>
      <c r="B53" s="174" t="s">
        <v>408</v>
      </c>
      <c r="D53" s="11">
        <v>33491.05559864064</v>
      </c>
      <c r="E53" s="11">
        <v>33491.05559864064</v>
      </c>
      <c r="F53" s="11">
        <v>33491.05559864064</v>
      </c>
      <c r="G53" s="11">
        <v>33491.05559864064</v>
      </c>
      <c r="H53" s="11">
        <v>33491.05559864064</v>
      </c>
      <c r="I53" s="11">
        <v>33491.05559864064</v>
      </c>
      <c r="J53" s="11">
        <v>33491.05559864064</v>
      </c>
      <c r="K53" s="11">
        <v>33491.05559864064</v>
      </c>
      <c r="L53" s="11">
        <v>33491.05559864064</v>
      </c>
      <c r="M53" s="11">
        <v>33491.05559864064</v>
      </c>
      <c r="N53" s="11">
        <v>33491.05559864064</v>
      </c>
      <c r="O53" s="11">
        <v>33491.05559864064</v>
      </c>
      <c r="P53" s="11">
        <v>33491.05559864064</v>
      </c>
      <c r="Q53" s="11">
        <v>33491.05559864064</v>
      </c>
      <c r="R53" s="11">
        <v>33491.05559864064</v>
      </c>
      <c r="S53" s="11">
        <v>33491.05559864064</v>
      </c>
      <c r="T53" s="11">
        <v>33491.05559864064</v>
      </c>
      <c r="U53" s="11">
        <v>33491.05559864064</v>
      </c>
      <c r="V53" s="11">
        <v>33491.05559864064</v>
      </c>
      <c r="W53" s="11">
        <v>33491.05559864064</v>
      </c>
      <c r="X53" s="11">
        <v>33491.05559864064</v>
      </c>
      <c r="Y53" s="11">
        <v>33491.05559864064</v>
      </c>
      <c r="Z53" s="11">
        <v>33491.05559864064</v>
      </c>
      <c r="AA53" s="11">
        <v>33491.05559864064</v>
      </c>
      <c r="AB53" s="11">
        <v>33491.05559864064</v>
      </c>
      <c r="AC53" s="11">
        <v>33491.05559864064</v>
      </c>
      <c r="AD53" s="11">
        <v>33491.05559864064</v>
      </c>
      <c r="AE53" s="11">
        <v>33491.05559864064</v>
      </c>
      <c r="AF53" s="11">
        <v>33491.05559864064</v>
      </c>
      <c r="AG53" s="11">
        <v>33491.05559864064</v>
      </c>
      <c r="AH53" s="11">
        <v>33491.05559864064</v>
      </c>
      <c r="AI53" s="11">
        <v>33491.05559864064</v>
      </c>
      <c r="AJ53" s="11">
        <v>33491.05559864064</v>
      </c>
    </row>
    <row r="54" spans="1:36" ht="18" x14ac:dyDescent="0.35">
      <c r="A54" s="4" t="s">
        <v>409</v>
      </c>
      <c r="B54" s="174" t="s">
        <v>410</v>
      </c>
      <c r="D54" s="11">
        <v>636.10741877760006</v>
      </c>
      <c r="E54" s="11">
        <v>636.10741877760006</v>
      </c>
      <c r="F54" s="11">
        <v>636.10741877760006</v>
      </c>
      <c r="G54" s="11">
        <v>636.10741877760006</v>
      </c>
      <c r="H54" s="11">
        <v>636.10741877760006</v>
      </c>
      <c r="I54" s="11">
        <v>636.10741877760006</v>
      </c>
      <c r="J54" s="11">
        <v>636.10741877760006</v>
      </c>
      <c r="K54" s="11">
        <v>636.10741877760006</v>
      </c>
      <c r="L54" s="11">
        <v>636.10741877760006</v>
      </c>
      <c r="M54" s="11">
        <v>636.10741877760006</v>
      </c>
      <c r="N54" s="11">
        <v>636.10741877760006</v>
      </c>
      <c r="O54" s="11">
        <v>636.10741877760006</v>
      </c>
      <c r="P54" s="11">
        <v>636.10741877760006</v>
      </c>
      <c r="Q54" s="11">
        <v>636.10741877760006</v>
      </c>
      <c r="R54" s="11">
        <v>636.10741877760006</v>
      </c>
      <c r="S54" s="11">
        <v>636.10741877760006</v>
      </c>
      <c r="T54" s="11">
        <v>636.10741877760006</v>
      </c>
      <c r="U54" s="11">
        <v>636.10741877760006</v>
      </c>
      <c r="V54" s="11">
        <v>636.10741877760006</v>
      </c>
      <c r="W54" s="11">
        <v>636.10741877760006</v>
      </c>
      <c r="X54" s="11">
        <v>636.10741877760006</v>
      </c>
      <c r="Y54" s="11">
        <v>636.10741877760006</v>
      </c>
      <c r="Z54" s="11">
        <v>636.10741877760006</v>
      </c>
      <c r="AA54" s="11">
        <v>636.10741877760006</v>
      </c>
      <c r="AB54" s="11">
        <v>636.10741877760006</v>
      </c>
      <c r="AC54" s="11">
        <v>636.10741877760006</v>
      </c>
      <c r="AD54" s="11">
        <v>636.10741877760006</v>
      </c>
      <c r="AE54" s="11">
        <v>636.10741877760006</v>
      </c>
      <c r="AF54" s="11">
        <v>636.10741877760006</v>
      </c>
      <c r="AG54" s="11">
        <v>636.10741877760006</v>
      </c>
      <c r="AH54" s="11">
        <v>636.10741877760006</v>
      </c>
      <c r="AI54" s="11">
        <v>636.10741877760006</v>
      </c>
      <c r="AJ54" s="11">
        <v>636.10741877760006</v>
      </c>
    </row>
    <row r="55" spans="1:36" x14ac:dyDescent="0.25">
      <c r="A55" s="4" t="s">
        <v>411</v>
      </c>
      <c r="B55" s="174" t="s">
        <v>412</v>
      </c>
      <c r="D55" s="11">
        <v>33917.720094720004</v>
      </c>
      <c r="E55" s="11">
        <v>33917.720094720004</v>
      </c>
      <c r="F55" s="11">
        <v>33917.720094720004</v>
      </c>
      <c r="G55" s="11">
        <v>33917.720094720004</v>
      </c>
      <c r="H55" s="11">
        <v>33917.720094720004</v>
      </c>
      <c r="I55" s="11">
        <v>33917.720094720004</v>
      </c>
      <c r="J55" s="11">
        <v>33917.720094720004</v>
      </c>
      <c r="K55" s="11">
        <v>33917.720094720004</v>
      </c>
      <c r="L55" s="11">
        <v>33917.720094720004</v>
      </c>
      <c r="M55" s="11">
        <v>33917.720094720004</v>
      </c>
      <c r="N55" s="11">
        <v>33917.720094720004</v>
      </c>
      <c r="O55" s="11">
        <v>33917.720094720004</v>
      </c>
      <c r="P55" s="11">
        <v>33917.720094720004</v>
      </c>
      <c r="Q55" s="11">
        <v>33917.720094720004</v>
      </c>
      <c r="R55" s="11">
        <v>33917.720094720004</v>
      </c>
      <c r="S55" s="11">
        <v>33917.720094720004</v>
      </c>
      <c r="T55" s="11">
        <v>33917.720094720004</v>
      </c>
      <c r="U55" s="11">
        <v>33917.720094720004</v>
      </c>
      <c r="V55" s="11">
        <v>33917.720094720004</v>
      </c>
      <c r="W55" s="11">
        <v>33917.720094720004</v>
      </c>
      <c r="X55" s="11">
        <v>33917.720094720004</v>
      </c>
      <c r="Y55" s="11">
        <v>33917.720094720004</v>
      </c>
      <c r="Z55" s="11">
        <v>33917.720094720004</v>
      </c>
      <c r="AA55" s="11">
        <v>33917.720094720004</v>
      </c>
      <c r="AB55" s="11">
        <v>33917.720094720004</v>
      </c>
      <c r="AC55" s="11">
        <v>33917.720094720004</v>
      </c>
      <c r="AD55" s="11">
        <v>33917.720094720004</v>
      </c>
      <c r="AE55" s="11">
        <v>33917.720094720004</v>
      </c>
      <c r="AF55" s="11">
        <v>33917.720094720004</v>
      </c>
      <c r="AG55" s="11">
        <v>33917.720094720004</v>
      </c>
      <c r="AH55" s="11">
        <v>33917.720094720004</v>
      </c>
      <c r="AI55" s="11">
        <v>33917.720094720004</v>
      </c>
      <c r="AJ55" s="11">
        <v>33917.720094720004</v>
      </c>
    </row>
    <row r="56" spans="1:36" ht="18" x14ac:dyDescent="0.35">
      <c r="A56" s="4" t="s">
        <v>413</v>
      </c>
      <c r="B56" s="174" t="s">
        <v>414</v>
      </c>
      <c r="D56" s="11">
        <v>336.04872174720003</v>
      </c>
      <c r="E56" s="11">
        <v>336.04872174720003</v>
      </c>
      <c r="F56" s="11">
        <v>336.04872174720003</v>
      </c>
      <c r="G56" s="11">
        <v>336.04872174720003</v>
      </c>
      <c r="H56" s="11">
        <v>336.04872174720003</v>
      </c>
      <c r="I56" s="11">
        <v>336.04872174720003</v>
      </c>
      <c r="J56" s="11">
        <v>336.04872174720003</v>
      </c>
      <c r="K56" s="11">
        <v>336.04872174720003</v>
      </c>
      <c r="L56" s="11">
        <v>336.04872174720003</v>
      </c>
      <c r="M56" s="11">
        <v>336.04872174720003</v>
      </c>
      <c r="N56" s="11">
        <v>336.04872174720003</v>
      </c>
      <c r="O56" s="11">
        <v>336.04872174720003</v>
      </c>
      <c r="P56" s="11">
        <v>336.04872174720003</v>
      </c>
      <c r="Q56" s="11">
        <v>336.04872174720003</v>
      </c>
      <c r="R56" s="11">
        <v>336.04872174720003</v>
      </c>
      <c r="S56" s="11">
        <v>336.04872174720003</v>
      </c>
      <c r="T56" s="11">
        <v>336.04872174720003</v>
      </c>
      <c r="U56" s="11">
        <v>336.04872174720003</v>
      </c>
      <c r="V56" s="11">
        <v>336.04872174720003</v>
      </c>
      <c r="W56" s="11">
        <v>336.04872174720003</v>
      </c>
      <c r="X56" s="11">
        <v>336.04872174720003</v>
      </c>
      <c r="Y56" s="11">
        <v>336.04872174720003</v>
      </c>
      <c r="Z56" s="11">
        <v>336.04872174720003</v>
      </c>
      <c r="AA56" s="11">
        <v>336.04872174720003</v>
      </c>
      <c r="AB56" s="11">
        <v>336.04872174720003</v>
      </c>
      <c r="AC56" s="11">
        <v>336.04872174720003</v>
      </c>
      <c r="AD56" s="11">
        <v>336.04872174720003</v>
      </c>
      <c r="AE56" s="11">
        <v>336.04872174720003</v>
      </c>
      <c r="AF56" s="11">
        <v>336.04872174720003</v>
      </c>
      <c r="AG56" s="11">
        <v>336.04872174720003</v>
      </c>
      <c r="AH56" s="11">
        <v>336.04872174720003</v>
      </c>
      <c r="AI56" s="11">
        <v>336.04872174720003</v>
      </c>
      <c r="AJ56" s="11">
        <v>336.04872174720003</v>
      </c>
    </row>
    <row r="57" spans="1:36" ht="18" x14ac:dyDescent="0.35">
      <c r="A57" s="4" t="s">
        <v>415</v>
      </c>
      <c r="B57" s="174" t="s">
        <v>416</v>
      </c>
      <c r="D57" s="11">
        <v>312849.92222668801</v>
      </c>
      <c r="E57" s="11">
        <v>312849.92222668801</v>
      </c>
      <c r="F57" s="11">
        <v>312849.92222668801</v>
      </c>
      <c r="G57" s="11">
        <v>312849.92222668801</v>
      </c>
      <c r="H57" s="11">
        <v>312849.92222668801</v>
      </c>
      <c r="I57" s="11">
        <v>312849.92222668801</v>
      </c>
      <c r="J57" s="11">
        <v>312849.92222668801</v>
      </c>
      <c r="K57" s="11">
        <v>312849.92222668801</v>
      </c>
      <c r="L57" s="11">
        <v>312849.92222668801</v>
      </c>
      <c r="M57" s="11">
        <v>312849.92222668801</v>
      </c>
      <c r="N57" s="11">
        <v>312849.92222668801</v>
      </c>
      <c r="O57" s="11">
        <v>312849.92222668801</v>
      </c>
      <c r="P57" s="11">
        <v>312849.92222668801</v>
      </c>
      <c r="Q57" s="11">
        <v>312849.92222668801</v>
      </c>
      <c r="R57" s="11">
        <v>312849.92222668801</v>
      </c>
      <c r="S57" s="11">
        <v>312849.92222668801</v>
      </c>
      <c r="T57" s="11">
        <v>312849.92222668801</v>
      </c>
      <c r="U57" s="11">
        <v>312849.92222668801</v>
      </c>
      <c r="V57" s="11">
        <v>312849.92222668801</v>
      </c>
      <c r="W57" s="11">
        <v>312849.92222668801</v>
      </c>
      <c r="X57" s="11">
        <v>312849.92222668801</v>
      </c>
      <c r="Y57" s="11">
        <v>312849.92222668801</v>
      </c>
      <c r="Z57" s="11">
        <v>312849.92222668801</v>
      </c>
      <c r="AA57" s="11">
        <v>312849.92222668801</v>
      </c>
      <c r="AB57" s="11">
        <v>312849.92222668801</v>
      </c>
      <c r="AC57" s="11">
        <v>312849.92222668801</v>
      </c>
      <c r="AD57" s="11">
        <v>312849.92222668801</v>
      </c>
      <c r="AE57" s="11">
        <v>312849.92222668801</v>
      </c>
      <c r="AF57" s="11">
        <v>312849.92222668801</v>
      </c>
      <c r="AG57" s="11">
        <v>312849.92222668801</v>
      </c>
      <c r="AH57" s="11">
        <v>312849.92222668801</v>
      </c>
      <c r="AI57" s="11">
        <v>312849.92222668801</v>
      </c>
      <c r="AJ57" s="11">
        <v>312849.92222668801</v>
      </c>
    </row>
    <row r="58" spans="1:36" ht="18" x14ac:dyDescent="0.35">
      <c r="A58" s="4" t="s">
        <v>417</v>
      </c>
      <c r="B58" s="174" t="s">
        <v>418</v>
      </c>
      <c r="D58" s="11">
        <v>8635.8174280262447</v>
      </c>
      <c r="E58" s="11">
        <v>8635.8174280262447</v>
      </c>
      <c r="F58" s="11">
        <v>8635.8174280262447</v>
      </c>
      <c r="G58" s="11">
        <v>8635.8174280262447</v>
      </c>
      <c r="H58" s="11">
        <v>8635.8174280262447</v>
      </c>
      <c r="I58" s="11">
        <v>8635.8174280262447</v>
      </c>
      <c r="J58" s="11">
        <v>8635.8174280262447</v>
      </c>
      <c r="K58" s="11">
        <v>8635.8174280262447</v>
      </c>
      <c r="L58" s="11">
        <v>8635.8174280262447</v>
      </c>
      <c r="M58" s="11">
        <v>8635.8174280262447</v>
      </c>
      <c r="N58" s="11">
        <v>8635.8174280262447</v>
      </c>
      <c r="O58" s="11">
        <v>8635.8174280262447</v>
      </c>
      <c r="P58" s="11">
        <v>8635.8174280262447</v>
      </c>
      <c r="Q58" s="11">
        <v>8635.8174280262447</v>
      </c>
      <c r="R58" s="11">
        <v>8635.8174280262447</v>
      </c>
      <c r="S58" s="11">
        <v>8635.8174280262447</v>
      </c>
      <c r="T58" s="11">
        <v>8635.8174280262447</v>
      </c>
      <c r="U58" s="11">
        <v>8635.8174280262447</v>
      </c>
      <c r="V58" s="11">
        <v>8635.8174280262447</v>
      </c>
      <c r="W58" s="11">
        <v>8635.8174280262447</v>
      </c>
      <c r="X58" s="11">
        <v>8635.8174280262447</v>
      </c>
      <c r="Y58" s="11">
        <v>8635.8174280262447</v>
      </c>
      <c r="Z58" s="11">
        <v>8635.8174280262447</v>
      </c>
      <c r="AA58" s="11">
        <v>8635.8174280262447</v>
      </c>
      <c r="AB58" s="11">
        <v>8635.8174280262447</v>
      </c>
      <c r="AC58" s="11">
        <v>8635.8174280262447</v>
      </c>
      <c r="AD58" s="11">
        <v>8635.8174280262447</v>
      </c>
      <c r="AE58" s="11">
        <v>8635.8174280262447</v>
      </c>
      <c r="AF58" s="11">
        <v>8635.8174280262447</v>
      </c>
      <c r="AG58" s="11">
        <v>8635.8174280262447</v>
      </c>
      <c r="AH58" s="11">
        <v>8635.8174280262447</v>
      </c>
      <c r="AI58" s="11">
        <v>8635.8174280262447</v>
      </c>
      <c r="AJ58" s="11">
        <v>8635.8174280262447</v>
      </c>
    </row>
    <row r="59" spans="1:36" x14ac:dyDescent="0.25">
      <c r="D59" s="11"/>
      <c r="E59" s="11"/>
      <c r="F59" s="11"/>
      <c r="G59" s="11"/>
      <c r="H59" s="11"/>
      <c r="I59" s="11"/>
      <c r="J59" s="11"/>
      <c r="K59" s="11"/>
      <c r="L59" s="11"/>
      <c r="M59" s="11"/>
      <c r="N59" s="11"/>
      <c r="O59" s="11"/>
      <c r="P59" s="11"/>
      <c r="Q59" s="11"/>
      <c r="R59" s="11"/>
      <c r="S59" s="11"/>
      <c r="T59" s="11"/>
      <c r="U59" s="11"/>
      <c r="V59" s="11"/>
      <c r="W59" s="11"/>
      <c r="X59" s="11"/>
    </row>
    <row r="60" spans="1:36" x14ac:dyDescent="0.25">
      <c r="A60" s="179" t="s">
        <v>421</v>
      </c>
      <c r="B60" s="180"/>
      <c r="C60" s="180"/>
      <c r="D60" s="181"/>
      <c r="E60" s="181"/>
      <c r="F60" s="181"/>
      <c r="G60" s="181"/>
      <c r="H60" s="181"/>
      <c r="I60" s="181"/>
      <c r="J60" s="181"/>
      <c r="K60" s="181"/>
      <c r="L60" s="181"/>
      <c r="M60" s="181"/>
      <c r="N60" s="181"/>
      <c r="O60" s="181"/>
      <c r="P60" s="181"/>
      <c r="Q60" s="181"/>
      <c r="R60" s="181"/>
      <c r="S60" s="181"/>
      <c r="T60" s="181"/>
      <c r="U60" s="181"/>
      <c r="V60" s="181"/>
      <c r="W60" s="181"/>
      <c r="X60" s="181"/>
      <c r="Y60" s="181"/>
      <c r="Z60" s="181"/>
      <c r="AA60" s="181"/>
      <c r="AB60" s="181"/>
      <c r="AC60" s="181"/>
      <c r="AD60" s="181"/>
      <c r="AE60" s="181"/>
      <c r="AF60" s="181"/>
      <c r="AG60" s="181"/>
      <c r="AH60" s="181"/>
      <c r="AI60" s="181"/>
      <c r="AJ60" s="181"/>
    </row>
    <row r="61" spans="1:36" x14ac:dyDescent="0.25">
      <c r="A61" s="4" t="s">
        <v>396</v>
      </c>
      <c r="B61" s="174" t="s">
        <v>91</v>
      </c>
      <c r="D61" s="11">
        <v>1853704.6347151925</v>
      </c>
      <c r="E61" s="11">
        <v>1853704.6347151925</v>
      </c>
      <c r="F61" s="11">
        <v>1853704.6347151925</v>
      </c>
      <c r="G61" s="11">
        <v>1853704.6347151925</v>
      </c>
      <c r="H61" s="11">
        <v>1853704.6347151925</v>
      </c>
      <c r="I61" s="11">
        <v>1853704.6347151925</v>
      </c>
      <c r="J61" s="11">
        <v>1853704.6347151925</v>
      </c>
      <c r="K61" s="11">
        <v>1853704.6347151925</v>
      </c>
      <c r="L61" s="11">
        <v>1853704.6347151925</v>
      </c>
      <c r="M61" s="11">
        <v>1853704.6347151925</v>
      </c>
      <c r="N61" s="11">
        <v>1853704.6347151925</v>
      </c>
      <c r="O61" s="11">
        <v>1853704.6347151925</v>
      </c>
      <c r="P61" s="11">
        <v>1853704.6347151925</v>
      </c>
      <c r="Q61" s="11">
        <v>1853704.6347151925</v>
      </c>
      <c r="R61" s="11">
        <v>1853704.6347151925</v>
      </c>
      <c r="S61" s="11">
        <v>1853704.6347151925</v>
      </c>
      <c r="T61" s="11">
        <v>1853704.6347151925</v>
      </c>
      <c r="U61" s="11">
        <v>1853704.6347151925</v>
      </c>
      <c r="V61" s="11">
        <v>1853704.6347151925</v>
      </c>
      <c r="W61" s="11">
        <v>1853704.6347151925</v>
      </c>
      <c r="X61" s="11">
        <v>1853704.6347151925</v>
      </c>
      <c r="Y61" s="11">
        <v>1853704.6347151925</v>
      </c>
      <c r="Z61" s="11">
        <v>1853704.6347151925</v>
      </c>
      <c r="AA61" s="11">
        <v>1853704.6347151925</v>
      </c>
      <c r="AB61" s="11">
        <v>1853704.6347151925</v>
      </c>
      <c r="AC61" s="11">
        <v>1853704.6347151925</v>
      </c>
      <c r="AD61" s="11">
        <v>1853704.6347151925</v>
      </c>
      <c r="AE61" s="11">
        <v>1853704.6347151925</v>
      </c>
      <c r="AF61" s="11">
        <v>1853704.6347151925</v>
      </c>
      <c r="AG61" s="11">
        <v>1853704.6347151925</v>
      </c>
      <c r="AH61" s="11">
        <v>1853704.6347151925</v>
      </c>
      <c r="AI61" s="11">
        <v>1853704.6347151925</v>
      </c>
      <c r="AJ61" s="11">
        <v>1853704.6347151925</v>
      </c>
    </row>
    <row r="62" spans="1:36" ht="18" x14ac:dyDescent="0.35">
      <c r="A62" s="4" t="s">
        <v>397</v>
      </c>
      <c r="B62" s="174" t="s">
        <v>398</v>
      </c>
      <c r="D62" s="11">
        <v>35680.396213905282</v>
      </c>
      <c r="E62" s="11">
        <v>35680.396213905282</v>
      </c>
      <c r="F62" s="11">
        <v>35680.396213905282</v>
      </c>
      <c r="G62" s="11">
        <v>35680.396213905282</v>
      </c>
      <c r="H62" s="11">
        <v>35680.396213905282</v>
      </c>
      <c r="I62" s="11">
        <v>35680.396213905282</v>
      </c>
      <c r="J62" s="11">
        <v>35680.396213905282</v>
      </c>
      <c r="K62" s="11">
        <v>35680.396213905282</v>
      </c>
      <c r="L62" s="11">
        <v>35680.396213905282</v>
      </c>
      <c r="M62" s="11">
        <v>35680.396213905282</v>
      </c>
      <c r="N62" s="11">
        <v>35680.396213905282</v>
      </c>
      <c r="O62" s="11">
        <v>35680.396213905282</v>
      </c>
      <c r="P62" s="11">
        <v>35680.396213905282</v>
      </c>
      <c r="Q62" s="11">
        <v>35680.396213905282</v>
      </c>
      <c r="R62" s="11">
        <v>35680.396213905282</v>
      </c>
      <c r="S62" s="11">
        <v>35680.396213905282</v>
      </c>
      <c r="T62" s="11">
        <v>35680.396213905282</v>
      </c>
      <c r="U62" s="11">
        <v>35680.396213905282</v>
      </c>
      <c r="V62" s="11">
        <v>35680.396213905282</v>
      </c>
      <c r="W62" s="11">
        <v>35680.396213905282</v>
      </c>
      <c r="X62" s="11">
        <v>35680.396213905282</v>
      </c>
      <c r="Y62" s="11">
        <v>35680.396213905282</v>
      </c>
      <c r="Z62" s="11">
        <v>35680.396213905282</v>
      </c>
      <c r="AA62" s="11">
        <v>35680.396213905282</v>
      </c>
      <c r="AB62" s="11">
        <v>35680.396213905282</v>
      </c>
      <c r="AC62" s="11">
        <v>35680.396213905282</v>
      </c>
      <c r="AD62" s="11">
        <v>35680.396213905282</v>
      </c>
      <c r="AE62" s="11">
        <v>35680.396213905282</v>
      </c>
      <c r="AF62" s="11">
        <v>35680.396213905282</v>
      </c>
      <c r="AG62" s="11">
        <v>35680.396213905282</v>
      </c>
      <c r="AH62" s="11">
        <v>35680.396213905282</v>
      </c>
      <c r="AI62" s="11">
        <v>35680.396213905282</v>
      </c>
      <c r="AJ62" s="11">
        <v>35680.396213905282</v>
      </c>
    </row>
    <row r="63" spans="1:36" ht="18" x14ac:dyDescent="0.35">
      <c r="A63" s="4" t="s">
        <v>399</v>
      </c>
      <c r="B63" s="174" t="s">
        <v>400</v>
      </c>
      <c r="D63" s="11">
        <v>35680.396213905282</v>
      </c>
      <c r="E63" s="11">
        <v>35680.396213905282</v>
      </c>
      <c r="F63" s="11">
        <v>35680.396213905282</v>
      </c>
      <c r="G63" s="11">
        <v>35680.396213905282</v>
      </c>
      <c r="H63" s="11">
        <v>35680.396213905282</v>
      </c>
      <c r="I63" s="11">
        <v>35680.396213905282</v>
      </c>
      <c r="J63" s="11">
        <v>35680.396213905282</v>
      </c>
      <c r="K63" s="11">
        <v>35680.396213905282</v>
      </c>
      <c r="L63" s="11">
        <v>35680.396213905282</v>
      </c>
      <c r="M63" s="11">
        <v>35680.396213905282</v>
      </c>
      <c r="N63" s="11">
        <v>35680.396213905282</v>
      </c>
      <c r="O63" s="11">
        <v>35680.396213905282</v>
      </c>
      <c r="P63" s="11">
        <v>35680.396213905282</v>
      </c>
      <c r="Q63" s="11">
        <v>35680.396213905282</v>
      </c>
      <c r="R63" s="11">
        <v>35680.396213905282</v>
      </c>
      <c r="S63" s="11">
        <v>35680.396213905282</v>
      </c>
      <c r="T63" s="11">
        <v>35680.396213905282</v>
      </c>
      <c r="U63" s="11">
        <v>35680.396213905282</v>
      </c>
      <c r="V63" s="11">
        <v>35680.396213905282</v>
      </c>
      <c r="W63" s="11">
        <v>35680.396213905282</v>
      </c>
      <c r="X63" s="11">
        <v>35680.396213905282</v>
      </c>
      <c r="Y63" s="11">
        <v>35680.396213905282</v>
      </c>
      <c r="Z63" s="11">
        <v>35680.396213905282</v>
      </c>
      <c r="AA63" s="11">
        <v>35680.396213905282</v>
      </c>
      <c r="AB63" s="11">
        <v>35680.396213905282</v>
      </c>
      <c r="AC63" s="11">
        <v>35680.396213905282</v>
      </c>
      <c r="AD63" s="11">
        <v>35680.396213905282</v>
      </c>
      <c r="AE63" s="11">
        <v>35680.396213905282</v>
      </c>
      <c r="AF63" s="11">
        <v>35680.396213905282</v>
      </c>
      <c r="AG63" s="11">
        <v>35680.396213905282</v>
      </c>
      <c r="AH63" s="11">
        <v>35680.396213905282</v>
      </c>
      <c r="AI63" s="11">
        <v>35680.396213905282</v>
      </c>
      <c r="AJ63" s="11">
        <v>35680.396213905282</v>
      </c>
    </row>
    <row r="64" spans="1:36" ht="18" x14ac:dyDescent="0.35">
      <c r="A64" s="4" t="s">
        <v>397</v>
      </c>
      <c r="B64" s="174" t="s">
        <v>401</v>
      </c>
      <c r="D64" s="11">
        <v>32825.964516792861</v>
      </c>
      <c r="E64" s="11">
        <v>32825.964516792861</v>
      </c>
      <c r="F64" s="11">
        <v>32825.964516792861</v>
      </c>
      <c r="G64" s="11">
        <v>32825.964516792861</v>
      </c>
      <c r="H64" s="11">
        <v>32825.964516792861</v>
      </c>
      <c r="I64" s="11">
        <v>32825.964516792861</v>
      </c>
      <c r="J64" s="11">
        <v>32825.964516792861</v>
      </c>
      <c r="K64" s="11">
        <v>32825.964516792861</v>
      </c>
      <c r="L64" s="11">
        <v>32825.964516792861</v>
      </c>
      <c r="M64" s="11">
        <v>32825.964516792861</v>
      </c>
      <c r="N64" s="11">
        <v>32825.964516792861</v>
      </c>
      <c r="O64" s="11">
        <v>32825.964516792861</v>
      </c>
      <c r="P64" s="11">
        <v>32825.964516792861</v>
      </c>
      <c r="Q64" s="11">
        <v>32825.964516792861</v>
      </c>
      <c r="R64" s="11">
        <v>32825.964516792861</v>
      </c>
      <c r="S64" s="11">
        <v>32825.964516792861</v>
      </c>
      <c r="T64" s="11">
        <v>32825.964516792861</v>
      </c>
      <c r="U64" s="11">
        <v>32825.964516792861</v>
      </c>
      <c r="V64" s="11">
        <v>32825.964516792861</v>
      </c>
      <c r="W64" s="11">
        <v>32825.964516792861</v>
      </c>
      <c r="X64" s="11">
        <v>32825.964516792861</v>
      </c>
      <c r="Y64" s="11">
        <v>32825.964516792861</v>
      </c>
      <c r="Z64" s="11">
        <v>32825.964516792861</v>
      </c>
      <c r="AA64" s="11">
        <v>32825.964516792861</v>
      </c>
      <c r="AB64" s="11">
        <v>32825.964516792861</v>
      </c>
      <c r="AC64" s="11">
        <v>32825.964516792861</v>
      </c>
      <c r="AD64" s="11">
        <v>32825.964516792861</v>
      </c>
      <c r="AE64" s="11">
        <v>32825.964516792861</v>
      </c>
      <c r="AF64" s="11">
        <v>32825.964516792861</v>
      </c>
      <c r="AG64" s="11">
        <v>32825.964516792861</v>
      </c>
      <c r="AH64" s="11">
        <v>32825.964516792861</v>
      </c>
      <c r="AI64" s="11">
        <v>32825.964516792861</v>
      </c>
      <c r="AJ64" s="11">
        <v>32825.964516792861</v>
      </c>
    </row>
    <row r="65" spans="1:36" ht="18" x14ac:dyDescent="0.35">
      <c r="A65" s="4" t="s">
        <v>399</v>
      </c>
      <c r="B65" s="174" t="s">
        <v>402</v>
      </c>
      <c r="D65" s="11">
        <v>32825.964516792861</v>
      </c>
      <c r="E65" s="11">
        <v>32825.964516792861</v>
      </c>
      <c r="F65" s="11">
        <v>32825.964516792861</v>
      </c>
      <c r="G65" s="11">
        <v>32825.964516792861</v>
      </c>
      <c r="H65" s="11">
        <v>32825.964516792861</v>
      </c>
      <c r="I65" s="11">
        <v>32825.964516792861</v>
      </c>
      <c r="J65" s="11">
        <v>32825.964516792861</v>
      </c>
      <c r="K65" s="11">
        <v>32825.964516792861</v>
      </c>
      <c r="L65" s="11">
        <v>32825.964516792861</v>
      </c>
      <c r="M65" s="11">
        <v>32825.964516792861</v>
      </c>
      <c r="N65" s="11">
        <v>32825.964516792861</v>
      </c>
      <c r="O65" s="11">
        <v>32825.964516792861</v>
      </c>
      <c r="P65" s="11">
        <v>32825.964516792861</v>
      </c>
      <c r="Q65" s="11">
        <v>32825.964516792861</v>
      </c>
      <c r="R65" s="11">
        <v>32825.964516792861</v>
      </c>
      <c r="S65" s="11">
        <v>32825.964516792861</v>
      </c>
      <c r="T65" s="11">
        <v>32825.964516792861</v>
      </c>
      <c r="U65" s="11">
        <v>32825.964516792861</v>
      </c>
      <c r="V65" s="11">
        <v>32825.964516792861</v>
      </c>
      <c r="W65" s="11">
        <v>32825.964516792861</v>
      </c>
      <c r="X65" s="11">
        <v>32825.964516792861</v>
      </c>
      <c r="Y65" s="11">
        <v>32825.964516792861</v>
      </c>
      <c r="Z65" s="11">
        <v>32825.964516792861</v>
      </c>
      <c r="AA65" s="11">
        <v>32825.964516792861</v>
      </c>
      <c r="AB65" s="11">
        <v>32825.964516792861</v>
      </c>
      <c r="AC65" s="11">
        <v>32825.964516792861</v>
      </c>
      <c r="AD65" s="11">
        <v>32825.964516792861</v>
      </c>
      <c r="AE65" s="11">
        <v>32825.964516792861</v>
      </c>
      <c r="AF65" s="11">
        <v>32825.964516792861</v>
      </c>
      <c r="AG65" s="11">
        <v>32825.964516792861</v>
      </c>
      <c r="AH65" s="11">
        <v>32825.964516792861</v>
      </c>
      <c r="AI65" s="11">
        <v>32825.964516792861</v>
      </c>
      <c r="AJ65" s="11">
        <v>32825.964516792861</v>
      </c>
    </row>
    <row r="66" spans="1:36" x14ac:dyDescent="0.25">
      <c r="A66" s="4" t="s">
        <v>403</v>
      </c>
      <c r="B66" s="174" t="s">
        <v>404</v>
      </c>
      <c r="D66" s="11">
        <v>984.77893550378576</v>
      </c>
      <c r="E66" s="11">
        <v>984.77893550378576</v>
      </c>
      <c r="F66" s="11">
        <v>984.77893550378576</v>
      </c>
      <c r="G66" s="11">
        <v>984.77893550378576</v>
      </c>
      <c r="H66" s="11">
        <v>984.77893550378576</v>
      </c>
      <c r="I66" s="11">
        <v>984.77893550378576</v>
      </c>
      <c r="J66" s="11">
        <v>984.77893550378576</v>
      </c>
      <c r="K66" s="11">
        <v>984.77893550378576</v>
      </c>
      <c r="L66" s="11">
        <v>984.77893550378576</v>
      </c>
      <c r="M66" s="11">
        <v>984.77893550378576</v>
      </c>
      <c r="N66" s="11">
        <v>984.77893550378576</v>
      </c>
      <c r="O66" s="11">
        <v>984.77893550378576</v>
      </c>
      <c r="P66" s="11">
        <v>984.77893550378576</v>
      </c>
      <c r="Q66" s="11">
        <v>984.77893550378576</v>
      </c>
      <c r="R66" s="11">
        <v>984.77893550378576</v>
      </c>
      <c r="S66" s="11">
        <v>984.77893550378576</v>
      </c>
      <c r="T66" s="11">
        <v>984.77893550378576</v>
      </c>
      <c r="U66" s="11">
        <v>984.77893550378576</v>
      </c>
      <c r="V66" s="11">
        <v>984.77893550378576</v>
      </c>
      <c r="W66" s="11">
        <v>984.77893550378576</v>
      </c>
      <c r="X66" s="11">
        <v>984.77893550378576</v>
      </c>
      <c r="Y66" s="11">
        <v>984.77893550378576</v>
      </c>
      <c r="Z66" s="11">
        <v>984.77893550378576</v>
      </c>
      <c r="AA66" s="11">
        <v>984.77893550378576</v>
      </c>
      <c r="AB66" s="11">
        <v>984.77893550378576</v>
      </c>
      <c r="AC66" s="11">
        <v>984.77893550378576</v>
      </c>
      <c r="AD66" s="11">
        <v>984.77893550378576</v>
      </c>
      <c r="AE66" s="11">
        <v>984.77893550378576</v>
      </c>
      <c r="AF66" s="11">
        <v>984.77893550378576</v>
      </c>
      <c r="AG66" s="11">
        <v>984.77893550378576</v>
      </c>
      <c r="AH66" s="11">
        <v>984.77893550378576</v>
      </c>
      <c r="AI66" s="11">
        <v>984.77893550378576</v>
      </c>
      <c r="AJ66" s="11">
        <v>984.77893550378576</v>
      </c>
    </row>
    <row r="67" spans="1:36" x14ac:dyDescent="0.25">
      <c r="A67" s="4" t="s">
        <v>405</v>
      </c>
      <c r="B67" s="174" t="s">
        <v>406</v>
      </c>
      <c r="D67" s="11">
        <v>75661.413661844592</v>
      </c>
      <c r="E67" s="11">
        <v>75661.413661844592</v>
      </c>
      <c r="F67" s="11">
        <v>75661.413661844592</v>
      </c>
      <c r="G67" s="11">
        <v>75661.413661844592</v>
      </c>
      <c r="H67" s="11">
        <v>75661.413661844592</v>
      </c>
      <c r="I67" s="11">
        <v>75661.413661844592</v>
      </c>
      <c r="J67" s="11">
        <v>75661.413661844592</v>
      </c>
      <c r="K67" s="11">
        <v>75661.413661844592</v>
      </c>
      <c r="L67" s="11">
        <v>75661.413661844592</v>
      </c>
      <c r="M67" s="11">
        <v>75661.413661844592</v>
      </c>
      <c r="N67" s="11">
        <v>75661.413661844592</v>
      </c>
      <c r="O67" s="11">
        <v>75661.413661844592</v>
      </c>
      <c r="P67" s="11">
        <v>75661.413661844592</v>
      </c>
      <c r="Q67" s="11">
        <v>75661.413661844592</v>
      </c>
      <c r="R67" s="11">
        <v>75661.413661844592</v>
      </c>
      <c r="S67" s="11">
        <v>75661.413661844592</v>
      </c>
      <c r="T67" s="11">
        <v>75661.413661844592</v>
      </c>
      <c r="U67" s="11">
        <v>75661.413661844592</v>
      </c>
      <c r="V67" s="11">
        <v>75661.413661844592</v>
      </c>
      <c r="W67" s="11">
        <v>75661.413661844592</v>
      </c>
      <c r="X67" s="11">
        <v>75661.413661844592</v>
      </c>
      <c r="Y67" s="11">
        <v>75661.413661844592</v>
      </c>
      <c r="Z67" s="11">
        <v>75661.413661844592</v>
      </c>
      <c r="AA67" s="11">
        <v>75661.413661844592</v>
      </c>
      <c r="AB67" s="11">
        <v>75661.413661844592</v>
      </c>
      <c r="AC67" s="11">
        <v>75661.413661844592</v>
      </c>
      <c r="AD67" s="11">
        <v>75661.413661844592</v>
      </c>
      <c r="AE67" s="11">
        <v>75661.413661844592</v>
      </c>
      <c r="AF67" s="11">
        <v>75661.413661844592</v>
      </c>
      <c r="AG67" s="11">
        <v>75661.413661844592</v>
      </c>
      <c r="AH67" s="11">
        <v>75661.413661844592</v>
      </c>
      <c r="AI67" s="11">
        <v>75661.413661844592</v>
      </c>
      <c r="AJ67" s="11">
        <v>75661.413661844592</v>
      </c>
    </row>
    <row r="68" spans="1:36" ht="30" x14ac:dyDescent="0.25">
      <c r="A68" s="4" t="s">
        <v>407</v>
      </c>
      <c r="B68" s="174" t="s">
        <v>408</v>
      </c>
      <c r="D68" s="11">
        <v>79671.468585922354</v>
      </c>
      <c r="E68" s="11">
        <v>79671.468585922354</v>
      </c>
      <c r="F68" s="11">
        <v>79671.468585922354</v>
      </c>
      <c r="G68" s="11">
        <v>79671.468585922354</v>
      </c>
      <c r="H68" s="11">
        <v>79671.468585922354</v>
      </c>
      <c r="I68" s="11">
        <v>79671.468585922354</v>
      </c>
      <c r="J68" s="11">
        <v>79671.468585922354</v>
      </c>
      <c r="K68" s="11">
        <v>79671.468585922354</v>
      </c>
      <c r="L68" s="11">
        <v>79671.468585922354</v>
      </c>
      <c r="M68" s="11">
        <v>79671.468585922354</v>
      </c>
      <c r="N68" s="11">
        <v>79671.468585922354</v>
      </c>
      <c r="O68" s="11">
        <v>79671.468585922354</v>
      </c>
      <c r="P68" s="11">
        <v>79671.468585922354</v>
      </c>
      <c r="Q68" s="11">
        <v>79671.468585922354</v>
      </c>
      <c r="R68" s="11">
        <v>79671.468585922354</v>
      </c>
      <c r="S68" s="11">
        <v>79671.468585922354</v>
      </c>
      <c r="T68" s="11">
        <v>79671.468585922354</v>
      </c>
      <c r="U68" s="11">
        <v>79671.468585922354</v>
      </c>
      <c r="V68" s="11">
        <v>79671.468585922354</v>
      </c>
      <c r="W68" s="11">
        <v>79671.468585922354</v>
      </c>
      <c r="X68" s="11">
        <v>79671.468585922354</v>
      </c>
      <c r="Y68" s="11">
        <v>79671.468585922354</v>
      </c>
      <c r="Z68" s="11">
        <v>79671.468585922354</v>
      </c>
      <c r="AA68" s="11">
        <v>79671.468585922354</v>
      </c>
      <c r="AB68" s="11">
        <v>79671.468585922354</v>
      </c>
      <c r="AC68" s="11">
        <v>79671.468585922354</v>
      </c>
      <c r="AD68" s="11">
        <v>79671.468585922354</v>
      </c>
      <c r="AE68" s="11">
        <v>79671.468585922354</v>
      </c>
      <c r="AF68" s="11">
        <v>79671.468585922354</v>
      </c>
      <c r="AG68" s="11">
        <v>79671.468585922354</v>
      </c>
      <c r="AH68" s="11">
        <v>79671.468585922354</v>
      </c>
      <c r="AI68" s="11">
        <v>79671.468585922354</v>
      </c>
      <c r="AJ68" s="11">
        <v>79671.468585922354</v>
      </c>
    </row>
    <row r="69" spans="1:36" ht="18" x14ac:dyDescent="0.35">
      <c r="A69" s="4" t="s">
        <v>409</v>
      </c>
      <c r="B69" s="174" t="s">
        <v>410</v>
      </c>
      <c r="D69" s="11">
        <v>1513.2282732368917</v>
      </c>
      <c r="E69" s="11">
        <v>1513.2282732368917</v>
      </c>
      <c r="F69" s="11">
        <v>1513.2282732368917</v>
      </c>
      <c r="G69" s="11">
        <v>1513.2282732368917</v>
      </c>
      <c r="H69" s="11">
        <v>1513.2282732368917</v>
      </c>
      <c r="I69" s="11">
        <v>1513.2282732368917</v>
      </c>
      <c r="J69" s="11">
        <v>1513.2282732368917</v>
      </c>
      <c r="K69" s="11">
        <v>1513.2282732368917</v>
      </c>
      <c r="L69" s="11">
        <v>1513.2282732368917</v>
      </c>
      <c r="M69" s="11">
        <v>1513.2282732368917</v>
      </c>
      <c r="N69" s="11">
        <v>1513.2282732368917</v>
      </c>
      <c r="O69" s="11">
        <v>1513.2282732368917</v>
      </c>
      <c r="P69" s="11">
        <v>1513.2282732368917</v>
      </c>
      <c r="Q69" s="11">
        <v>1513.2282732368917</v>
      </c>
      <c r="R69" s="11">
        <v>1513.2282732368917</v>
      </c>
      <c r="S69" s="11">
        <v>1513.2282732368917</v>
      </c>
      <c r="T69" s="11">
        <v>1513.2282732368917</v>
      </c>
      <c r="U69" s="11">
        <v>1513.2282732368917</v>
      </c>
      <c r="V69" s="11">
        <v>1513.2282732368917</v>
      </c>
      <c r="W69" s="11">
        <v>1513.2282732368917</v>
      </c>
      <c r="X69" s="11">
        <v>1513.2282732368917</v>
      </c>
      <c r="Y69" s="11">
        <v>1513.2282732368917</v>
      </c>
      <c r="Z69" s="11">
        <v>1513.2282732368917</v>
      </c>
      <c r="AA69" s="11">
        <v>1513.2282732368917</v>
      </c>
      <c r="AB69" s="11">
        <v>1513.2282732368917</v>
      </c>
      <c r="AC69" s="11">
        <v>1513.2282732368917</v>
      </c>
      <c r="AD69" s="11">
        <v>1513.2282732368917</v>
      </c>
      <c r="AE69" s="11">
        <v>1513.2282732368917</v>
      </c>
      <c r="AF69" s="11">
        <v>1513.2282732368917</v>
      </c>
      <c r="AG69" s="11">
        <v>1513.2282732368917</v>
      </c>
      <c r="AH69" s="11">
        <v>1513.2282732368917</v>
      </c>
      <c r="AI69" s="11">
        <v>1513.2282732368917</v>
      </c>
      <c r="AJ69" s="11">
        <v>1513.2282732368917</v>
      </c>
    </row>
    <row r="70" spans="1:36" x14ac:dyDescent="0.25">
      <c r="A70" s="4" t="s">
        <v>411</v>
      </c>
      <c r="B70" s="174" t="s">
        <v>412</v>
      </c>
      <c r="D70" s="11">
        <v>208068.88757007263</v>
      </c>
      <c r="E70" s="11">
        <v>208068.88757007263</v>
      </c>
      <c r="F70" s="11">
        <v>208068.88757007263</v>
      </c>
      <c r="G70" s="11">
        <v>208068.88757007263</v>
      </c>
      <c r="H70" s="11">
        <v>208068.88757007263</v>
      </c>
      <c r="I70" s="11">
        <v>208068.88757007263</v>
      </c>
      <c r="J70" s="11">
        <v>208068.88757007263</v>
      </c>
      <c r="K70" s="11">
        <v>208068.88757007263</v>
      </c>
      <c r="L70" s="11">
        <v>208068.88757007263</v>
      </c>
      <c r="M70" s="11">
        <v>208068.88757007263</v>
      </c>
      <c r="N70" s="11">
        <v>208068.88757007263</v>
      </c>
      <c r="O70" s="11">
        <v>208068.88757007263</v>
      </c>
      <c r="P70" s="11">
        <v>208068.88757007263</v>
      </c>
      <c r="Q70" s="11">
        <v>208068.88757007263</v>
      </c>
      <c r="R70" s="11">
        <v>208068.88757007263</v>
      </c>
      <c r="S70" s="11">
        <v>208068.88757007263</v>
      </c>
      <c r="T70" s="11">
        <v>208068.88757007263</v>
      </c>
      <c r="U70" s="11">
        <v>208068.88757007263</v>
      </c>
      <c r="V70" s="11">
        <v>208068.88757007263</v>
      </c>
      <c r="W70" s="11">
        <v>208068.88757007263</v>
      </c>
      <c r="X70" s="11">
        <v>208068.88757007263</v>
      </c>
      <c r="Y70" s="11">
        <v>208068.88757007263</v>
      </c>
      <c r="Z70" s="11">
        <v>208068.88757007263</v>
      </c>
      <c r="AA70" s="11">
        <v>208068.88757007263</v>
      </c>
      <c r="AB70" s="11">
        <v>208068.88757007263</v>
      </c>
      <c r="AC70" s="11">
        <v>208068.88757007263</v>
      </c>
      <c r="AD70" s="11">
        <v>208068.88757007263</v>
      </c>
      <c r="AE70" s="11">
        <v>208068.88757007263</v>
      </c>
      <c r="AF70" s="11">
        <v>208068.88757007263</v>
      </c>
      <c r="AG70" s="11">
        <v>208068.88757007263</v>
      </c>
      <c r="AH70" s="11">
        <v>208068.88757007263</v>
      </c>
      <c r="AI70" s="11">
        <v>208068.88757007263</v>
      </c>
      <c r="AJ70" s="11">
        <v>208068.88757007263</v>
      </c>
    </row>
    <row r="71" spans="1:36" ht="18" x14ac:dyDescent="0.35">
      <c r="A71" s="4" t="s">
        <v>413</v>
      </c>
      <c r="B71" s="174" t="s">
        <v>414</v>
      </c>
      <c r="D71" s="11">
        <v>5485.4524904837326</v>
      </c>
      <c r="E71" s="11">
        <v>5485.4524904837326</v>
      </c>
      <c r="F71" s="11">
        <v>5485.4524904837326</v>
      </c>
      <c r="G71" s="11">
        <v>5485.4524904837326</v>
      </c>
      <c r="H71" s="11">
        <v>5485.4524904837326</v>
      </c>
      <c r="I71" s="11">
        <v>5485.4524904837326</v>
      </c>
      <c r="J71" s="11">
        <v>5485.4524904837326</v>
      </c>
      <c r="K71" s="11">
        <v>5485.4524904837326</v>
      </c>
      <c r="L71" s="11">
        <v>5485.4524904837326</v>
      </c>
      <c r="M71" s="11">
        <v>5485.4524904837326</v>
      </c>
      <c r="N71" s="11">
        <v>5485.4524904837326</v>
      </c>
      <c r="O71" s="11">
        <v>5485.4524904837326</v>
      </c>
      <c r="P71" s="11">
        <v>5485.4524904837326</v>
      </c>
      <c r="Q71" s="11">
        <v>5485.4524904837326</v>
      </c>
      <c r="R71" s="11">
        <v>5485.4524904837326</v>
      </c>
      <c r="S71" s="11">
        <v>5485.4524904837326</v>
      </c>
      <c r="T71" s="11">
        <v>5485.4524904837326</v>
      </c>
      <c r="U71" s="11">
        <v>5485.4524904837326</v>
      </c>
      <c r="V71" s="11">
        <v>5485.4524904837326</v>
      </c>
      <c r="W71" s="11">
        <v>5485.4524904837326</v>
      </c>
      <c r="X71" s="11">
        <v>5485.4524904837326</v>
      </c>
      <c r="Y71" s="11">
        <v>5485.4524904837326</v>
      </c>
      <c r="Z71" s="11">
        <v>5485.4524904837326</v>
      </c>
      <c r="AA71" s="11">
        <v>5485.4524904837326</v>
      </c>
      <c r="AB71" s="11">
        <v>5485.4524904837326</v>
      </c>
      <c r="AC71" s="11">
        <v>5485.4524904837326</v>
      </c>
      <c r="AD71" s="11">
        <v>5485.4524904837326</v>
      </c>
      <c r="AE71" s="11">
        <v>5485.4524904837326</v>
      </c>
      <c r="AF71" s="11">
        <v>5485.4524904837326</v>
      </c>
      <c r="AG71" s="11">
        <v>5485.4524904837326</v>
      </c>
      <c r="AH71" s="11">
        <v>5485.4524904837326</v>
      </c>
      <c r="AI71" s="11">
        <v>5485.4524904837326</v>
      </c>
      <c r="AJ71" s="11">
        <v>5485.4524904837326</v>
      </c>
    </row>
    <row r="72" spans="1:36" ht="18" x14ac:dyDescent="0.35">
      <c r="A72" s="4" t="s">
        <v>415</v>
      </c>
      <c r="B72" s="174" t="s">
        <v>416</v>
      </c>
      <c r="D72" s="11">
        <v>8455541.2837794404</v>
      </c>
      <c r="E72" s="11">
        <v>8455541.2837794404</v>
      </c>
      <c r="F72" s="11">
        <v>8455541.2837794404</v>
      </c>
      <c r="G72" s="11">
        <v>8455541.2837794404</v>
      </c>
      <c r="H72" s="11">
        <v>8455541.2837794404</v>
      </c>
      <c r="I72" s="11">
        <v>8455541.2837794404</v>
      </c>
      <c r="J72" s="11">
        <v>8455541.2837794404</v>
      </c>
      <c r="K72" s="11">
        <v>8455541.2837794404</v>
      </c>
      <c r="L72" s="11">
        <v>8455541.2837794404</v>
      </c>
      <c r="M72" s="11">
        <v>8455541.2837794404</v>
      </c>
      <c r="N72" s="11">
        <v>8455541.2837794404</v>
      </c>
      <c r="O72" s="11">
        <v>8455541.2837794404</v>
      </c>
      <c r="P72" s="11">
        <v>8455541.2837794404</v>
      </c>
      <c r="Q72" s="11">
        <v>8455541.2837794404</v>
      </c>
      <c r="R72" s="11">
        <v>8455541.2837794404</v>
      </c>
      <c r="S72" s="11">
        <v>8455541.2837794404</v>
      </c>
      <c r="T72" s="11">
        <v>8455541.2837794404</v>
      </c>
      <c r="U72" s="11">
        <v>8455541.2837794404</v>
      </c>
      <c r="V72" s="11">
        <v>8455541.2837794404</v>
      </c>
      <c r="W72" s="11">
        <v>8455541.2837794404</v>
      </c>
      <c r="X72" s="11">
        <v>8455541.2837794404</v>
      </c>
      <c r="Y72" s="11">
        <v>8455541.2837794404</v>
      </c>
      <c r="Z72" s="11">
        <v>8455541.2837794404</v>
      </c>
      <c r="AA72" s="11">
        <v>8455541.2837794404</v>
      </c>
      <c r="AB72" s="11">
        <v>8455541.2837794404</v>
      </c>
      <c r="AC72" s="11">
        <v>8455541.2837794404</v>
      </c>
      <c r="AD72" s="11">
        <v>8455541.2837794404</v>
      </c>
      <c r="AE72" s="11">
        <v>8455541.2837794404</v>
      </c>
      <c r="AF72" s="11">
        <v>8455541.2837794404</v>
      </c>
      <c r="AG72" s="11">
        <v>8455541.2837794404</v>
      </c>
      <c r="AH72" s="11">
        <v>8455541.2837794404</v>
      </c>
      <c r="AI72" s="11">
        <v>8455541.2837794404</v>
      </c>
      <c r="AJ72" s="11">
        <v>8455541.2837794404</v>
      </c>
    </row>
    <row r="73" spans="1:36" ht="18" x14ac:dyDescent="0.35">
      <c r="A73" s="4" t="s">
        <v>417</v>
      </c>
      <c r="B73" s="174" t="s">
        <v>418</v>
      </c>
      <c r="D73" s="11">
        <v>80248.012341096284</v>
      </c>
      <c r="E73" s="11">
        <v>80248.012341096284</v>
      </c>
      <c r="F73" s="11">
        <v>80248.012341096284</v>
      </c>
      <c r="G73" s="11">
        <v>80248.012341096284</v>
      </c>
      <c r="H73" s="11">
        <v>80248.012341096284</v>
      </c>
      <c r="I73" s="11">
        <v>80248.012341096284</v>
      </c>
      <c r="J73" s="11">
        <v>80248.012341096284</v>
      </c>
      <c r="K73" s="11">
        <v>80248.012341096284</v>
      </c>
      <c r="L73" s="11">
        <v>80248.012341096284</v>
      </c>
      <c r="M73" s="11">
        <v>80248.012341096284</v>
      </c>
      <c r="N73" s="11">
        <v>80248.012341096284</v>
      </c>
      <c r="O73" s="11">
        <v>80248.012341096284</v>
      </c>
      <c r="P73" s="11">
        <v>80248.012341096284</v>
      </c>
      <c r="Q73" s="11">
        <v>80248.012341096284</v>
      </c>
      <c r="R73" s="11">
        <v>80248.012341096284</v>
      </c>
      <c r="S73" s="11">
        <v>80248.012341096284</v>
      </c>
      <c r="T73" s="11">
        <v>80248.012341096284</v>
      </c>
      <c r="U73" s="11">
        <v>80248.012341096284</v>
      </c>
      <c r="V73" s="11">
        <v>80248.012341096284</v>
      </c>
      <c r="W73" s="11">
        <v>80248.012341096284</v>
      </c>
      <c r="X73" s="11">
        <v>80248.012341096284</v>
      </c>
      <c r="Y73" s="11">
        <v>80248.012341096284</v>
      </c>
      <c r="Z73" s="11">
        <v>80248.012341096284</v>
      </c>
      <c r="AA73" s="11">
        <v>80248.012341096284</v>
      </c>
      <c r="AB73" s="11">
        <v>80248.012341096284</v>
      </c>
      <c r="AC73" s="11">
        <v>80248.012341096284</v>
      </c>
      <c r="AD73" s="11">
        <v>80248.012341096284</v>
      </c>
      <c r="AE73" s="11">
        <v>80248.012341096284</v>
      </c>
      <c r="AF73" s="11">
        <v>80248.012341096284</v>
      </c>
      <c r="AG73" s="11">
        <v>80248.012341096284</v>
      </c>
      <c r="AH73" s="11">
        <v>80248.012341096284</v>
      </c>
      <c r="AI73" s="11">
        <v>80248.012341096284</v>
      </c>
      <c r="AJ73" s="11">
        <v>80248.012341096284</v>
      </c>
    </row>
    <row r="74" spans="1:36" x14ac:dyDescent="0.25">
      <c r="D74" s="11"/>
      <c r="E74" s="11"/>
      <c r="F74" s="11"/>
      <c r="G74" s="11"/>
      <c r="H74" s="11"/>
      <c r="I74" s="11"/>
      <c r="J74" s="11"/>
      <c r="K74" s="11"/>
      <c r="L74" s="11"/>
      <c r="M74" s="11"/>
      <c r="N74" s="11"/>
      <c r="O74" s="11"/>
      <c r="P74" s="11"/>
      <c r="Q74" s="11"/>
      <c r="R74" s="11"/>
      <c r="S74" s="11"/>
      <c r="T74" s="11"/>
      <c r="U74" s="11"/>
      <c r="V74" s="11"/>
      <c r="W74" s="11"/>
      <c r="X74" s="11"/>
    </row>
    <row r="75" spans="1:36" x14ac:dyDescent="0.25">
      <c r="A75" s="179" t="s">
        <v>422</v>
      </c>
      <c r="B75" s="180"/>
      <c r="C75" s="180"/>
      <c r="D75" s="181"/>
      <c r="E75" s="181"/>
      <c r="F75" s="181"/>
      <c r="G75" s="181"/>
      <c r="H75" s="181"/>
      <c r="I75" s="181"/>
      <c r="J75" s="181"/>
      <c r="K75" s="181"/>
      <c r="L75" s="181"/>
      <c r="M75" s="181"/>
      <c r="N75" s="181"/>
      <c r="O75" s="181"/>
      <c r="P75" s="181"/>
      <c r="Q75" s="181"/>
      <c r="R75" s="181"/>
      <c r="S75" s="181"/>
      <c r="T75" s="181"/>
      <c r="U75" s="181"/>
      <c r="V75" s="181"/>
      <c r="W75" s="181"/>
      <c r="X75" s="181"/>
      <c r="Y75" s="181"/>
      <c r="Z75" s="181"/>
      <c r="AA75" s="181"/>
      <c r="AB75" s="181"/>
      <c r="AC75" s="181"/>
      <c r="AD75" s="181"/>
      <c r="AE75" s="181"/>
      <c r="AF75" s="181"/>
      <c r="AG75" s="181"/>
      <c r="AH75" s="181"/>
      <c r="AI75" s="181"/>
      <c r="AJ75" s="181"/>
    </row>
    <row r="76" spans="1:36" x14ac:dyDescent="0.25">
      <c r="A76" s="4" t="s">
        <v>396</v>
      </c>
      <c r="B76" s="174" t="s">
        <v>91</v>
      </c>
      <c r="D76" s="11">
        <v>1633905.0000000002</v>
      </c>
      <c r="E76" s="11">
        <v>1633905.0000000002</v>
      </c>
      <c r="F76" s="11">
        <v>1633905.0000000002</v>
      </c>
      <c r="G76" s="11">
        <v>1633905.0000000002</v>
      </c>
      <c r="H76" s="11">
        <v>1633905.0000000002</v>
      </c>
      <c r="I76" s="11">
        <v>1633905.0000000002</v>
      </c>
      <c r="J76" s="11">
        <v>1633905.0000000002</v>
      </c>
      <c r="K76" s="11">
        <v>1633905.0000000002</v>
      </c>
      <c r="L76" s="11">
        <v>1633905.0000000002</v>
      </c>
      <c r="M76" s="11">
        <v>1633905.0000000002</v>
      </c>
      <c r="N76" s="11">
        <v>1633905.0000000002</v>
      </c>
      <c r="O76" s="11">
        <v>1633905.0000000002</v>
      </c>
      <c r="P76" s="11">
        <v>1633905.0000000002</v>
      </c>
      <c r="Q76" s="11">
        <v>1633905.0000000002</v>
      </c>
      <c r="R76" s="11">
        <v>1633905.0000000002</v>
      </c>
      <c r="S76" s="11">
        <v>1633905.0000000002</v>
      </c>
      <c r="T76" s="11">
        <v>1633905.0000000002</v>
      </c>
      <c r="U76" s="11">
        <v>1633905.0000000002</v>
      </c>
      <c r="V76" s="11">
        <v>1633905.0000000002</v>
      </c>
      <c r="W76" s="11">
        <v>1633905.0000000002</v>
      </c>
      <c r="X76" s="11">
        <v>1633905.0000000002</v>
      </c>
      <c r="Y76" s="11">
        <v>1633905.0000000002</v>
      </c>
      <c r="Z76" s="11">
        <v>1633905.0000000002</v>
      </c>
      <c r="AA76" s="11">
        <v>1633905.0000000002</v>
      </c>
      <c r="AB76" s="11">
        <v>1633905.0000000002</v>
      </c>
      <c r="AC76" s="11">
        <v>1633905.0000000002</v>
      </c>
      <c r="AD76" s="11">
        <v>1633905.0000000002</v>
      </c>
      <c r="AE76" s="11">
        <v>1633905.0000000002</v>
      </c>
      <c r="AF76" s="11">
        <v>1633905.0000000002</v>
      </c>
      <c r="AG76" s="11">
        <v>1633905.0000000002</v>
      </c>
      <c r="AH76" s="11">
        <v>1633905.0000000002</v>
      </c>
      <c r="AI76" s="11">
        <v>1633905.0000000002</v>
      </c>
      <c r="AJ76" s="11">
        <v>1633905.0000000002</v>
      </c>
    </row>
    <row r="77" spans="1:36" ht="18" x14ac:dyDescent="0.35">
      <c r="A77" s="4" t="s">
        <v>397</v>
      </c>
      <c r="B77" s="174" t="s">
        <v>398</v>
      </c>
      <c r="D77" s="11">
        <v>31449.658529250002</v>
      </c>
      <c r="E77" s="11">
        <v>31449.658529250002</v>
      </c>
      <c r="F77" s="11">
        <v>31449.658529250002</v>
      </c>
      <c r="G77" s="11">
        <v>31449.658529250002</v>
      </c>
      <c r="H77" s="11">
        <v>31449.658529250002</v>
      </c>
      <c r="I77" s="11">
        <v>31449.658529250002</v>
      </c>
      <c r="J77" s="11">
        <v>31449.658529250002</v>
      </c>
      <c r="K77" s="11">
        <v>31449.658529250002</v>
      </c>
      <c r="L77" s="11">
        <v>31449.658529250002</v>
      </c>
      <c r="M77" s="11">
        <v>31449.658529250002</v>
      </c>
      <c r="N77" s="11">
        <v>31449.658529250002</v>
      </c>
      <c r="O77" s="11">
        <v>31449.658529250002</v>
      </c>
      <c r="P77" s="11">
        <v>31449.658529250002</v>
      </c>
      <c r="Q77" s="11">
        <v>31449.658529250002</v>
      </c>
      <c r="R77" s="11">
        <v>31449.658529250002</v>
      </c>
      <c r="S77" s="11">
        <v>31449.658529250002</v>
      </c>
      <c r="T77" s="11">
        <v>31449.658529250002</v>
      </c>
      <c r="U77" s="11">
        <v>31449.658529250002</v>
      </c>
      <c r="V77" s="11">
        <v>31449.658529250002</v>
      </c>
      <c r="W77" s="11">
        <v>31449.658529250002</v>
      </c>
      <c r="X77" s="11">
        <v>31449.658529250002</v>
      </c>
      <c r="Y77" s="11">
        <v>31449.658529250002</v>
      </c>
      <c r="Z77" s="11">
        <v>31449.658529250002</v>
      </c>
      <c r="AA77" s="11">
        <v>31449.658529250002</v>
      </c>
      <c r="AB77" s="11">
        <v>31449.658529250002</v>
      </c>
      <c r="AC77" s="11">
        <v>31449.658529250002</v>
      </c>
      <c r="AD77" s="11">
        <v>31449.658529250002</v>
      </c>
      <c r="AE77" s="11">
        <v>31449.658529250002</v>
      </c>
      <c r="AF77" s="11">
        <v>31449.658529250002</v>
      </c>
      <c r="AG77" s="11">
        <v>31449.658529250002</v>
      </c>
      <c r="AH77" s="11">
        <v>31449.658529250002</v>
      </c>
      <c r="AI77" s="11">
        <v>31449.658529250002</v>
      </c>
      <c r="AJ77" s="11">
        <v>31449.658529250002</v>
      </c>
    </row>
    <row r="78" spans="1:36" ht="18" x14ac:dyDescent="0.35">
      <c r="A78" s="4" t="s">
        <v>399</v>
      </c>
      <c r="B78" s="174" t="s">
        <v>400</v>
      </c>
      <c r="D78" s="11">
        <v>31449.658529250002</v>
      </c>
      <c r="E78" s="11">
        <v>31449.658529250002</v>
      </c>
      <c r="F78" s="11">
        <v>31449.658529250002</v>
      </c>
      <c r="G78" s="11">
        <v>31449.658529250002</v>
      </c>
      <c r="H78" s="11">
        <v>31449.658529250002</v>
      </c>
      <c r="I78" s="11">
        <v>31449.658529250002</v>
      </c>
      <c r="J78" s="11">
        <v>31449.658529250002</v>
      </c>
      <c r="K78" s="11">
        <v>31449.658529250002</v>
      </c>
      <c r="L78" s="11">
        <v>31449.658529250002</v>
      </c>
      <c r="M78" s="11">
        <v>31449.658529250002</v>
      </c>
      <c r="N78" s="11">
        <v>31449.658529250002</v>
      </c>
      <c r="O78" s="11">
        <v>31449.658529250002</v>
      </c>
      <c r="P78" s="11">
        <v>31449.658529250002</v>
      </c>
      <c r="Q78" s="11">
        <v>31449.658529250002</v>
      </c>
      <c r="R78" s="11">
        <v>31449.658529250002</v>
      </c>
      <c r="S78" s="11">
        <v>31449.658529250002</v>
      </c>
      <c r="T78" s="11">
        <v>31449.658529250002</v>
      </c>
      <c r="U78" s="11">
        <v>31449.658529250002</v>
      </c>
      <c r="V78" s="11">
        <v>31449.658529250002</v>
      </c>
      <c r="W78" s="11">
        <v>31449.658529250002</v>
      </c>
      <c r="X78" s="11">
        <v>31449.658529250002</v>
      </c>
      <c r="Y78" s="11">
        <v>31449.658529250002</v>
      </c>
      <c r="Z78" s="11">
        <v>31449.658529250002</v>
      </c>
      <c r="AA78" s="11">
        <v>31449.658529250002</v>
      </c>
      <c r="AB78" s="11">
        <v>31449.658529250002</v>
      </c>
      <c r="AC78" s="11">
        <v>31449.658529250002</v>
      </c>
      <c r="AD78" s="11">
        <v>31449.658529250002</v>
      </c>
      <c r="AE78" s="11">
        <v>31449.658529250002</v>
      </c>
      <c r="AF78" s="11">
        <v>31449.658529250002</v>
      </c>
      <c r="AG78" s="11">
        <v>31449.658529250002</v>
      </c>
      <c r="AH78" s="11">
        <v>31449.658529250002</v>
      </c>
      <c r="AI78" s="11">
        <v>31449.658529250002</v>
      </c>
      <c r="AJ78" s="11">
        <v>31449.658529250002</v>
      </c>
    </row>
    <row r="79" spans="1:36" ht="18" x14ac:dyDescent="0.35">
      <c r="A79" s="4" t="s">
        <v>397</v>
      </c>
      <c r="B79" s="174" t="s">
        <v>401</v>
      </c>
      <c r="D79" s="11">
        <v>28933.685846910004</v>
      </c>
      <c r="E79" s="11">
        <v>28933.685846910004</v>
      </c>
      <c r="F79" s="11">
        <v>28933.685846910004</v>
      </c>
      <c r="G79" s="11">
        <v>28933.685846910004</v>
      </c>
      <c r="H79" s="11">
        <v>28933.685846910004</v>
      </c>
      <c r="I79" s="11">
        <v>28933.685846910004</v>
      </c>
      <c r="J79" s="11">
        <v>28933.685846910004</v>
      </c>
      <c r="K79" s="11">
        <v>28933.685846910004</v>
      </c>
      <c r="L79" s="11">
        <v>28933.685846910004</v>
      </c>
      <c r="M79" s="11">
        <v>28933.685846910004</v>
      </c>
      <c r="N79" s="11">
        <v>28933.685846910004</v>
      </c>
      <c r="O79" s="11">
        <v>28933.685846910004</v>
      </c>
      <c r="P79" s="11">
        <v>28933.685846910004</v>
      </c>
      <c r="Q79" s="11">
        <v>28933.685846910004</v>
      </c>
      <c r="R79" s="11">
        <v>28933.685846910004</v>
      </c>
      <c r="S79" s="11">
        <v>28933.685846910004</v>
      </c>
      <c r="T79" s="11">
        <v>28933.685846910004</v>
      </c>
      <c r="U79" s="11">
        <v>28933.685846910004</v>
      </c>
      <c r="V79" s="11">
        <v>28933.685846910004</v>
      </c>
      <c r="W79" s="11">
        <v>28933.685846910004</v>
      </c>
      <c r="X79" s="11">
        <v>28933.685846910004</v>
      </c>
      <c r="Y79" s="11">
        <v>28933.685846910004</v>
      </c>
      <c r="Z79" s="11">
        <v>28933.685846910004</v>
      </c>
      <c r="AA79" s="11">
        <v>28933.685846910004</v>
      </c>
      <c r="AB79" s="11">
        <v>28933.685846910004</v>
      </c>
      <c r="AC79" s="11">
        <v>28933.685846910004</v>
      </c>
      <c r="AD79" s="11">
        <v>28933.685846910004</v>
      </c>
      <c r="AE79" s="11">
        <v>28933.685846910004</v>
      </c>
      <c r="AF79" s="11">
        <v>28933.685846910004</v>
      </c>
      <c r="AG79" s="11">
        <v>28933.685846910004</v>
      </c>
      <c r="AH79" s="11">
        <v>28933.685846910004</v>
      </c>
      <c r="AI79" s="11">
        <v>28933.685846910004</v>
      </c>
      <c r="AJ79" s="11">
        <v>28933.685846910004</v>
      </c>
    </row>
    <row r="80" spans="1:36" ht="18" x14ac:dyDescent="0.35">
      <c r="A80" s="4" t="s">
        <v>399</v>
      </c>
      <c r="B80" s="174" t="s">
        <v>402</v>
      </c>
      <c r="D80" s="11">
        <v>28933.685846910004</v>
      </c>
      <c r="E80" s="11">
        <v>28933.685846910004</v>
      </c>
      <c r="F80" s="11">
        <v>28933.685846910004</v>
      </c>
      <c r="G80" s="11">
        <v>28933.685846910004</v>
      </c>
      <c r="H80" s="11">
        <v>28933.685846910004</v>
      </c>
      <c r="I80" s="11">
        <v>28933.685846910004</v>
      </c>
      <c r="J80" s="11">
        <v>28933.685846910004</v>
      </c>
      <c r="K80" s="11">
        <v>28933.685846910004</v>
      </c>
      <c r="L80" s="11">
        <v>28933.685846910004</v>
      </c>
      <c r="M80" s="11">
        <v>28933.685846910004</v>
      </c>
      <c r="N80" s="11">
        <v>28933.685846910004</v>
      </c>
      <c r="O80" s="11">
        <v>28933.685846910004</v>
      </c>
      <c r="P80" s="11">
        <v>28933.685846910004</v>
      </c>
      <c r="Q80" s="11">
        <v>28933.685846910004</v>
      </c>
      <c r="R80" s="11">
        <v>28933.685846910004</v>
      </c>
      <c r="S80" s="11">
        <v>28933.685846910004</v>
      </c>
      <c r="T80" s="11">
        <v>28933.685846910004</v>
      </c>
      <c r="U80" s="11">
        <v>28933.685846910004</v>
      </c>
      <c r="V80" s="11">
        <v>28933.685846910004</v>
      </c>
      <c r="W80" s="11">
        <v>28933.685846910004</v>
      </c>
      <c r="X80" s="11">
        <v>28933.685846910004</v>
      </c>
      <c r="Y80" s="11">
        <v>28933.685846910004</v>
      </c>
      <c r="Z80" s="11">
        <v>28933.685846910004</v>
      </c>
      <c r="AA80" s="11">
        <v>28933.685846910004</v>
      </c>
      <c r="AB80" s="11">
        <v>28933.685846910004</v>
      </c>
      <c r="AC80" s="11">
        <v>28933.685846910004</v>
      </c>
      <c r="AD80" s="11">
        <v>28933.685846910004</v>
      </c>
      <c r="AE80" s="11">
        <v>28933.685846910004</v>
      </c>
      <c r="AF80" s="11">
        <v>28933.685846910004</v>
      </c>
      <c r="AG80" s="11">
        <v>28933.685846910004</v>
      </c>
      <c r="AH80" s="11">
        <v>28933.685846910004</v>
      </c>
      <c r="AI80" s="11">
        <v>28933.685846910004</v>
      </c>
      <c r="AJ80" s="11">
        <v>28933.685846910004</v>
      </c>
    </row>
    <row r="81" spans="1:36" x14ac:dyDescent="0.25">
      <c r="A81" s="4" t="s">
        <v>403</v>
      </c>
      <c r="B81" s="174" t="s">
        <v>404</v>
      </c>
      <c r="D81" s="11">
        <v>868.01057540730005</v>
      </c>
      <c r="E81" s="11">
        <v>868.01057540730005</v>
      </c>
      <c r="F81" s="11">
        <v>868.01057540730005</v>
      </c>
      <c r="G81" s="11">
        <v>868.01057540730005</v>
      </c>
      <c r="H81" s="11">
        <v>868.01057540730005</v>
      </c>
      <c r="I81" s="11">
        <v>868.01057540730005</v>
      </c>
      <c r="J81" s="11">
        <v>868.01057540730005</v>
      </c>
      <c r="K81" s="11">
        <v>868.01057540730005</v>
      </c>
      <c r="L81" s="11">
        <v>868.01057540730005</v>
      </c>
      <c r="M81" s="11">
        <v>868.01057540730005</v>
      </c>
      <c r="N81" s="11">
        <v>868.01057540730005</v>
      </c>
      <c r="O81" s="11">
        <v>868.01057540730005</v>
      </c>
      <c r="P81" s="11">
        <v>868.01057540730005</v>
      </c>
      <c r="Q81" s="11">
        <v>868.01057540730005</v>
      </c>
      <c r="R81" s="11">
        <v>868.01057540730005</v>
      </c>
      <c r="S81" s="11">
        <v>868.01057540730005</v>
      </c>
      <c r="T81" s="11">
        <v>868.01057540730005</v>
      </c>
      <c r="U81" s="11">
        <v>868.01057540730005</v>
      </c>
      <c r="V81" s="11">
        <v>868.01057540730005</v>
      </c>
      <c r="W81" s="11">
        <v>868.01057540730005</v>
      </c>
      <c r="X81" s="11">
        <v>868.01057540730005</v>
      </c>
      <c r="Y81" s="11">
        <v>868.01057540730005</v>
      </c>
      <c r="Z81" s="11">
        <v>868.01057540730005</v>
      </c>
      <c r="AA81" s="11">
        <v>868.01057540730005</v>
      </c>
      <c r="AB81" s="11">
        <v>868.01057540730005</v>
      </c>
      <c r="AC81" s="11">
        <v>868.01057540730005</v>
      </c>
      <c r="AD81" s="11">
        <v>868.01057540730005</v>
      </c>
      <c r="AE81" s="11">
        <v>868.01057540730005</v>
      </c>
      <c r="AF81" s="11">
        <v>868.01057540730005</v>
      </c>
      <c r="AG81" s="11">
        <v>868.01057540730005</v>
      </c>
      <c r="AH81" s="11">
        <v>868.01057540730005</v>
      </c>
      <c r="AI81" s="11">
        <v>868.01057540730005</v>
      </c>
      <c r="AJ81" s="11">
        <v>868.01057540730005</v>
      </c>
    </row>
    <row r="82" spans="1:36" x14ac:dyDescent="0.25">
      <c r="A82" s="4" t="s">
        <v>405</v>
      </c>
      <c r="B82" s="174" t="s">
        <v>406</v>
      </c>
      <c r="D82" s="11">
        <v>66690</v>
      </c>
      <c r="E82" s="11">
        <v>66690</v>
      </c>
      <c r="F82" s="11">
        <v>66690</v>
      </c>
      <c r="G82" s="11">
        <v>66690</v>
      </c>
      <c r="H82" s="11">
        <v>66690</v>
      </c>
      <c r="I82" s="11">
        <v>66690</v>
      </c>
      <c r="J82" s="11">
        <v>66690</v>
      </c>
      <c r="K82" s="11">
        <v>66690</v>
      </c>
      <c r="L82" s="11">
        <v>66690</v>
      </c>
      <c r="M82" s="11">
        <v>66690</v>
      </c>
      <c r="N82" s="11">
        <v>66690</v>
      </c>
      <c r="O82" s="11">
        <v>66690</v>
      </c>
      <c r="P82" s="11">
        <v>66690</v>
      </c>
      <c r="Q82" s="11">
        <v>66690</v>
      </c>
      <c r="R82" s="11">
        <v>66690</v>
      </c>
      <c r="S82" s="11">
        <v>66690</v>
      </c>
      <c r="T82" s="11">
        <v>66690</v>
      </c>
      <c r="U82" s="11">
        <v>66690</v>
      </c>
      <c r="V82" s="11">
        <v>66690</v>
      </c>
      <c r="W82" s="11">
        <v>66690</v>
      </c>
      <c r="X82" s="11">
        <v>66690</v>
      </c>
      <c r="Y82" s="11">
        <v>66690</v>
      </c>
      <c r="Z82" s="11">
        <v>66690</v>
      </c>
      <c r="AA82" s="11">
        <v>66690</v>
      </c>
      <c r="AB82" s="11">
        <v>66690</v>
      </c>
      <c r="AC82" s="11">
        <v>66690</v>
      </c>
      <c r="AD82" s="11">
        <v>66690</v>
      </c>
      <c r="AE82" s="11">
        <v>66690</v>
      </c>
      <c r="AF82" s="11">
        <v>66690</v>
      </c>
      <c r="AG82" s="11">
        <v>66690</v>
      </c>
      <c r="AH82" s="11">
        <v>66690</v>
      </c>
      <c r="AI82" s="11">
        <v>66690</v>
      </c>
      <c r="AJ82" s="11">
        <v>66690</v>
      </c>
    </row>
    <row r="83" spans="1:36" ht="30" x14ac:dyDescent="0.25">
      <c r="A83" s="4" t="s">
        <v>407</v>
      </c>
      <c r="B83" s="174" t="s">
        <v>408</v>
      </c>
      <c r="D83" s="11">
        <v>70224.570000000007</v>
      </c>
      <c r="E83" s="11">
        <v>70224.570000000007</v>
      </c>
      <c r="F83" s="11">
        <v>70224.570000000007</v>
      </c>
      <c r="G83" s="11">
        <v>70224.570000000007</v>
      </c>
      <c r="H83" s="11">
        <v>70224.570000000007</v>
      </c>
      <c r="I83" s="11">
        <v>70224.570000000007</v>
      </c>
      <c r="J83" s="11">
        <v>70224.570000000007</v>
      </c>
      <c r="K83" s="11">
        <v>70224.570000000007</v>
      </c>
      <c r="L83" s="11">
        <v>70224.570000000007</v>
      </c>
      <c r="M83" s="11">
        <v>70224.570000000007</v>
      </c>
      <c r="N83" s="11">
        <v>70224.570000000007</v>
      </c>
      <c r="O83" s="11">
        <v>70224.570000000007</v>
      </c>
      <c r="P83" s="11">
        <v>70224.570000000007</v>
      </c>
      <c r="Q83" s="11">
        <v>70224.570000000007</v>
      </c>
      <c r="R83" s="11">
        <v>70224.570000000007</v>
      </c>
      <c r="S83" s="11">
        <v>70224.570000000007</v>
      </c>
      <c r="T83" s="11">
        <v>70224.570000000007</v>
      </c>
      <c r="U83" s="11">
        <v>70224.570000000007</v>
      </c>
      <c r="V83" s="11">
        <v>70224.570000000007</v>
      </c>
      <c r="W83" s="11">
        <v>70224.570000000007</v>
      </c>
      <c r="X83" s="11">
        <v>70224.570000000007</v>
      </c>
      <c r="Y83" s="11">
        <v>70224.570000000007</v>
      </c>
      <c r="Z83" s="11">
        <v>70224.570000000007</v>
      </c>
      <c r="AA83" s="11">
        <v>70224.570000000007</v>
      </c>
      <c r="AB83" s="11">
        <v>70224.570000000007</v>
      </c>
      <c r="AC83" s="11">
        <v>70224.570000000007</v>
      </c>
      <c r="AD83" s="11">
        <v>70224.570000000007</v>
      </c>
      <c r="AE83" s="11">
        <v>70224.570000000007</v>
      </c>
      <c r="AF83" s="11">
        <v>70224.570000000007</v>
      </c>
      <c r="AG83" s="11">
        <v>70224.570000000007</v>
      </c>
      <c r="AH83" s="11">
        <v>70224.570000000007</v>
      </c>
      <c r="AI83" s="11">
        <v>70224.570000000007</v>
      </c>
      <c r="AJ83" s="11">
        <v>70224.570000000007</v>
      </c>
    </row>
    <row r="84" spans="1:36" ht="18" x14ac:dyDescent="0.35">
      <c r="A84" s="4" t="s">
        <v>409</v>
      </c>
      <c r="B84" s="174" t="s">
        <v>410</v>
      </c>
      <c r="D84" s="11">
        <v>1333.8</v>
      </c>
      <c r="E84" s="11">
        <v>1333.8</v>
      </c>
      <c r="F84" s="11">
        <v>1333.8</v>
      </c>
      <c r="G84" s="11">
        <v>1333.8</v>
      </c>
      <c r="H84" s="11">
        <v>1333.8</v>
      </c>
      <c r="I84" s="11">
        <v>1333.8</v>
      </c>
      <c r="J84" s="11">
        <v>1333.8</v>
      </c>
      <c r="K84" s="11">
        <v>1333.8</v>
      </c>
      <c r="L84" s="11">
        <v>1333.8</v>
      </c>
      <c r="M84" s="11">
        <v>1333.8</v>
      </c>
      <c r="N84" s="11">
        <v>1333.8</v>
      </c>
      <c r="O84" s="11">
        <v>1333.8</v>
      </c>
      <c r="P84" s="11">
        <v>1333.8</v>
      </c>
      <c r="Q84" s="11">
        <v>1333.8</v>
      </c>
      <c r="R84" s="11">
        <v>1333.8</v>
      </c>
      <c r="S84" s="11">
        <v>1333.8</v>
      </c>
      <c r="T84" s="11">
        <v>1333.8</v>
      </c>
      <c r="U84" s="11">
        <v>1333.8</v>
      </c>
      <c r="V84" s="11">
        <v>1333.8</v>
      </c>
      <c r="W84" s="11">
        <v>1333.8</v>
      </c>
      <c r="X84" s="11">
        <v>1333.8</v>
      </c>
      <c r="Y84" s="11">
        <v>1333.8</v>
      </c>
      <c r="Z84" s="11">
        <v>1333.8</v>
      </c>
      <c r="AA84" s="11">
        <v>1333.8</v>
      </c>
      <c r="AB84" s="11">
        <v>1333.8</v>
      </c>
      <c r="AC84" s="11">
        <v>1333.8</v>
      </c>
      <c r="AD84" s="11">
        <v>1333.8</v>
      </c>
      <c r="AE84" s="11">
        <v>1333.8</v>
      </c>
      <c r="AF84" s="11">
        <v>1333.8</v>
      </c>
      <c r="AG84" s="11">
        <v>1333.8</v>
      </c>
      <c r="AH84" s="11">
        <v>1333.8</v>
      </c>
      <c r="AI84" s="11">
        <v>1333.8</v>
      </c>
      <c r="AJ84" s="11">
        <v>1333.8</v>
      </c>
    </row>
    <row r="85" spans="1:36" x14ac:dyDescent="0.25">
      <c r="A85" s="4" t="s">
        <v>411</v>
      </c>
      <c r="B85" s="174" t="s">
        <v>412</v>
      </c>
      <c r="D85" s="11">
        <v>183397.50000000003</v>
      </c>
      <c r="E85" s="11">
        <v>183397.50000000003</v>
      </c>
      <c r="F85" s="11">
        <v>183397.50000000003</v>
      </c>
      <c r="G85" s="11">
        <v>183397.50000000003</v>
      </c>
      <c r="H85" s="11">
        <v>183397.50000000003</v>
      </c>
      <c r="I85" s="11">
        <v>183397.50000000003</v>
      </c>
      <c r="J85" s="11">
        <v>183397.50000000003</v>
      </c>
      <c r="K85" s="11">
        <v>183397.50000000003</v>
      </c>
      <c r="L85" s="11">
        <v>183397.50000000003</v>
      </c>
      <c r="M85" s="11">
        <v>183397.50000000003</v>
      </c>
      <c r="N85" s="11">
        <v>183397.50000000003</v>
      </c>
      <c r="O85" s="11">
        <v>183397.50000000003</v>
      </c>
      <c r="P85" s="11">
        <v>183397.50000000003</v>
      </c>
      <c r="Q85" s="11">
        <v>183397.50000000003</v>
      </c>
      <c r="R85" s="11">
        <v>183397.50000000003</v>
      </c>
      <c r="S85" s="11">
        <v>183397.50000000003</v>
      </c>
      <c r="T85" s="11">
        <v>183397.50000000003</v>
      </c>
      <c r="U85" s="11">
        <v>183397.50000000003</v>
      </c>
      <c r="V85" s="11">
        <v>183397.50000000003</v>
      </c>
      <c r="W85" s="11">
        <v>183397.50000000003</v>
      </c>
      <c r="X85" s="11">
        <v>183397.50000000003</v>
      </c>
      <c r="Y85" s="11">
        <v>183397.50000000003</v>
      </c>
      <c r="Z85" s="11">
        <v>183397.50000000003</v>
      </c>
      <c r="AA85" s="11">
        <v>183397.50000000003</v>
      </c>
      <c r="AB85" s="11">
        <v>183397.50000000003</v>
      </c>
      <c r="AC85" s="11">
        <v>183397.50000000003</v>
      </c>
      <c r="AD85" s="11">
        <v>183397.50000000003</v>
      </c>
      <c r="AE85" s="11">
        <v>183397.50000000003</v>
      </c>
      <c r="AF85" s="11">
        <v>183397.50000000003</v>
      </c>
      <c r="AG85" s="11">
        <v>183397.50000000003</v>
      </c>
      <c r="AH85" s="11">
        <v>183397.50000000003</v>
      </c>
      <c r="AI85" s="11">
        <v>183397.50000000003</v>
      </c>
      <c r="AJ85" s="11">
        <v>183397.50000000003</v>
      </c>
    </row>
    <row r="86" spans="1:36" ht="18" x14ac:dyDescent="0.35">
      <c r="A86" s="4" t="s">
        <v>413</v>
      </c>
      <c r="B86" s="174" t="s">
        <v>414</v>
      </c>
      <c r="D86" s="11">
        <v>4835.0250000000005</v>
      </c>
      <c r="E86" s="11">
        <v>4835.0250000000005</v>
      </c>
      <c r="F86" s="11">
        <v>4835.0250000000005</v>
      </c>
      <c r="G86" s="11">
        <v>4835.0250000000005</v>
      </c>
      <c r="H86" s="11">
        <v>4835.0250000000005</v>
      </c>
      <c r="I86" s="11">
        <v>4835.0250000000005</v>
      </c>
      <c r="J86" s="11">
        <v>4835.0250000000005</v>
      </c>
      <c r="K86" s="11">
        <v>4835.0250000000005</v>
      </c>
      <c r="L86" s="11">
        <v>4835.0250000000005</v>
      </c>
      <c r="M86" s="11">
        <v>4835.0250000000005</v>
      </c>
      <c r="N86" s="11">
        <v>4835.0250000000005</v>
      </c>
      <c r="O86" s="11">
        <v>4835.0250000000005</v>
      </c>
      <c r="P86" s="11">
        <v>4835.0250000000005</v>
      </c>
      <c r="Q86" s="11">
        <v>4835.0250000000005</v>
      </c>
      <c r="R86" s="11">
        <v>4835.0250000000005</v>
      </c>
      <c r="S86" s="11">
        <v>4835.0250000000005</v>
      </c>
      <c r="T86" s="11">
        <v>4835.0250000000005</v>
      </c>
      <c r="U86" s="11">
        <v>4835.0250000000005</v>
      </c>
      <c r="V86" s="11">
        <v>4835.0250000000005</v>
      </c>
      <c r="W86" s="11">
        <v>4835.0250000000005</v>
      </c>
      <c r="X86" s="11">
        <v>4835.0250000000005</v>
      </c>
      <c r="Y86" s="11">
        <v>4835.0250000000005</v>
      </c>
      <c r="Z86" s="11">
        <v>4835.0250000000005</v>
      </c>
      <c r="AA86" s="11">
        <v>4835.0250000000005</v>
      </c>
      <c r="AB86" s="11">
        <v>4835.0250000000005</v>
      </c>
      <c r="AC86" s="11">
        <v>4835.0250000000005</v>
      </c>
      <c r="AD86" s="11">
        <v>4835.0250000000005</v>
      </c>
      <c r="AE86" s="11">
        <v>4835.0250000000005</v>
      </c>
      <c r="AF86" s="11">
        <v>4835.0250000000005</v>
      </c>
      <c r="AG86" s="11">
        <v>4835.0250000000005</v>
      </c>
      <c r="AH86" s="11">
        <v>4835.0250000000005</v>
      </c>
      <c r="AI86" s="11">
        <v>4835.0250000000005</v>
      </c>
      <c r="AJ86" s="11">
        <v>4835.0250000000005</v>
      </c>
    </row>
    <row r="87" spans="1:36" ht="18" x14ac:dyDescent="0.35">
      <c r="A87" s="4" t="s">
        <v>415</v>
      </c>
      <c r="B87" s="174" t="s">
        <v>416</v>
      </c>
      <c r="D87" s="11">
        <v>7452940.9499999993</v>
      </c>
      <c r="E87" s="11">
        <v>7452940.9499999993</v>
      </c>
      <c r="F87" s="11">
        <v>7452940.9499999993</v>
      </c>
      <c r="G87" s="11">
        <v>7452940.9499999993</v>
      </c>
      <c r="H87" s="11">
        <v>7452940.9499999993</v>
      </c>
      <c r="I87" s="11">
        <v>7452940.9499999993</v>
      </c>
      <c r="J87" s="11">
        <v>7452940.9499999993</v>
      </c>
      <c r="K87" s="11">
        <v>7452940.9499999993</v>
      </c>
      <c r="L87" s="11">
        <v>7452940.9499999993</v>
      </c>
      <c r="M87" s="11">
        <v>7452940.9499999993</v>
      </c>
      <c r="N87" s="11">
        <v>7452940.9499999993</v>
      </c>
      <c r="O87" s="11">
        <v>7452940.9499999993</v>
      </c>
      <c r="P87" s="11">
        <v>7452940.9499999993</v>
      </c>
      <c r="Q87" s="11">
        <v>7452940.9499999993</v>
      </c>
      <c r="R87" s="11">
        <v>7452940.9499999993</v>
      </c>
      <c r="S87" s="11">
        <v>7452940.9499999993</v>
      </c>
      <c r="T87" s="11">
        <v>7452940.9499999993</v>
      </c>
      <c r="U87" s="11">
        <v>7452940.9499999993</v>
      </c>
      <c r="V87" s="11">
        <v>7452940.9499999993</v>
      </c>
      <c r="W87" s="11">
        <v>7452940.9499999993</v>
      </c>
      <c r="X87" s="11">
        <v>7452940.9499999993</v>
      </c>
      <c r="Y87" s="11">
        <v>7452940.9499999993</v>
      </c>
      <c r="Z87" s="11">
        <v>7452940.9499999993</v>
      </c>
      <c r="AA87" s="11">
        <v>7452940.9499999993</v>
      </c>
      <c r="AB87" s="11">
        <v>7452940.9499999993</v>
      </c>
      <c r="AC87" s="11">
        <v>7452940.9499999993</v>
      </c>
      <c r="AD87" s="11">
        <v>7452940.9499999993</v>
      </c>
      <c r="AE87" s="11">
        <v>7452940.9499999993</v>
      </c>
      <c r="AF87" s="11">
        <v>7452940.9499999993</v>
      </c>
      <c r="AG87" s="11">
        <v>7452940.9499999993</v>
      </c>
      <c r="AH87" s="11">
        <v>7452940.9499999993</v>
      </c>
      <c r="AI87" s="11">
        <v>7452940.9499999993</v>
      </c>
      <c r="AJ87" s="11">
        <v>7452940.9499999993</v>
      </c>
    </row>
    <row r="88" spans="1:36" ht="18" x14ac:dyDescent="0.35">
      <c r="A88" s="4" t="s">
        <v>417</v>
      </c>
      <c r="B88" s="174" t="s">
        <v>418</v>
      </c>
      <c r="D88" s="11">
        <v>70732.751134499995</v>
      </c>
      <c r="E88" s="11">
        <v>70732.751134499995</v>
      </c>
      <c r="F88" s="11">
        <v>70732.751134499995</v>
      </c>
      <c r="G88" s="11">
        <v>70732.751134499995</v>
      </c>
      <c r="H88" s="11">
        <v>70732.751134499995</v>
      </c>
      <c r="I88" s="11">
        <v>70732.751134499995</v>
      </c>
      <c r="J88" s="11">
        <v>70732.751134499995</v>
      </c>
      <c r="K88" s="11">
        <v>70732.751134499995</v>
      </c>
      <c r="L88" s="11">
        <v>70732.751134499995</v>
      </c>
      <c r="M88" s="11">
        <v>70732.751134499995</v>
      </c>
      <c r="N88" s="11">
        <v>70732.751134499995</v>
      </c>
      <c r="O88" s="11">
        <v>70732.751134499995</v>
      </c>
      <c r="P88" s="11">
        <v>70732.751134499995</v>
      </c>
      <c r="Q88" s="11">
        <v>70732.751134499995</v>
      </c>
      <c r="R88" s="11">
        <v>70732.751134499995</v>
      </c>
      <c r="S88" s="11">
        <v>70732.751134499995</v>
      </c>
      <c r="T88" s="11">
        <v>70732.751134499995</v>
      </c>
      <c r="U88" s="11">
        <v>70732.751134499995</v>
      </c>
      <c r="V88" s="11">
        <v>70732.751134499995</v>
      </c>
      <c r="W88" s="11">
        <v>70732.751134499995</v>
      </c>
      <c r="X88" s="11">
        <v>70732.751134499995</v>
      </c>
      <c r="Y88" s="11">
        <v>70732.751134499995</v>
      </c>
      <c r="Z88" s="11">
        <v>70732.751134499995</v>
      </c>
      <c r="AA88" s="11">
        <v>70732.751134499995</v>
      </c>
      <c r="AB88" s="11">
        <v>70732.751134499995</v>
      </c>
      <c r="AC88" s="11">
        <v>70732.751134499995</v>
      </c>
      <c r="AD88" s="11">
        <v>70732.751134499995</v>
      </c>
      <c r="AE88" s="11">
        <v>70732.751134499995</v>
      </c>
      <c r="AF88" s="11">
        <v>70732.751134499995</v>
      </c>
      <c r="AG88" s="11">
        <v>70732.751134499995</v>
      </c>
      <c r="AH88" s="11">
        <v>70732.751134499995</v>
      </c>
      <c r="AI88" s="11">
        <v>70732.751134499995</v>
      </c>
      <c r="AJ88" s="11">
        <v>70732.751134499995</v>
      </c>
    </row>
    <row r="89" spans="1:36" x14ac:dyDescent="0.25">
      <c r="D89" s="11"/>
      <c r="E89" s="11"/>
      <c r="F89" s="11"/>
      <c r="G89" s="11"/>
      <c r="H89" s="11"/>
      <c r="I89" s="11"/>
      <c r="J89" s="11"/>
      <c r="K89" s="11"/>
      <c r="L89" s="11"/>
      <c r="M89" s="11"/>
      <c r="N89" s="11"/>
      <c r="O89" s="11"/>
      <c r="P89" s="11"/>
      <c r="Q89" s="11"/>
      <c r="R89" s="11"/>
      <c r="S89" s="11"/>
      <c r="T89" s="11"/>
      <c r="U89" s="11"/>
      <c r="V89" s="11"/>
      <c r="W89" s="11"/>
      <c r="X89" s="11"/>
    </row>
    <row r="90" spans="1:36" x14ac:dyDescent="0.25">
      <c r="A90" s="179" t="s">
        <v>423</v>
      </c>
      <c r="B90" s="180"/>
      <c r="C90" s="180"/>
      <c r="D90" s="181"/>
      <c r="E90" s="181"/>
      <c r="F90" s="181"/>
      <c r="G90" s="181"/>
      <c r="H90" s="181"/>
      <c r="I90" s="181"/>
      <c r="J90" s="181"/>
      <c r="K90" s="181"/>
      <c r="L90" s="181"/>
      <c r="M90" s="181"/>
      <c r="N90" s="181"/>
      <c r="O90" s="181"/>
      <c r="P90" s="181"/>
      <c r="Q90" s="181"/>
      <c r="R90" s="181"/>
      <c r="S90" s="181"/>
      <c r="T90" s="181"/>
      <c r="U90" s="181"/>
      <c r="V90" s="181"/>
      <c r="W90" s="181"/>
      <c r="X90" s="181"/>
      <c r="Y90" s="181"/>
      <c r="Z90" s="181"/>
      <c r="AA90" s="181"/>
      <c r="AB90" s="181"/>
      <c r="AC90" s="181"/>
      <c r="AD90" s="181"/>
      <c r="AE90" s="181"/>
      <c r="AF90" s="181"/>
      <c r="AG90" s="181"/>
      <c r="AH90" s="181"/>
      <c r="AI90" s="181"/>
      <c r="AJ90" s="181"/>
    </row>
    <row r="91" spans="1:36" x14ac:dyDescent="0.25">
      <c r="A91" s="4" t="s">
        <v>396</v>
      </c>
      <c r="B91" s="174" t="s">
        <v>91</v>
      </c>
      <c r="D91" s="11">
        <v>3638740.0000000005</v>
      </c>
      <c r="E91" s="11">
        <v>3548462.4000000008</v>
      </c>
      <c r="F91" s="11">
        <v>3445288.0000000005</v>
      </c>
      <c r="G91" s="11">
        <v>3329216.8000000003</v>
      </c>
      <c r="H91" s="11">
        <v>3213145.6</v>
      </c>
      <c r="I91" s="11">
        <v>3097074.4000000008</v>
      </c>
      <c r="J91" s="11">
        <v>3071280.8000000007</v>
      </c>
      <c r="K91" s="11">
        <v>3071280.8000000007</v>
      </c>
      <c r="L91" s="11">
        <v>3071280.8000000007</v>
      </c>
      <c r="M91" s="11">
        <v>3071280.8000000007</v>
      </c>
      <c r="N91" s="11">
        <v>3071280.8000000007</v>
      </c>
      <c r="O91" s="11">
        <v>3071280.8000000007</v>
      </c>
      <c r="P91" s="11">
        <v>3071280.8000000007</v>
      </c>
      <c r="Q91" s="11">
        <v>3071280.8000000007</v>
      </c>
      <c r="R91" s="11">
        <v>3071280.8000000007</v>
      </c>
      <c r="S91" s="11">
        <v>3071280.8000000007</v>
      </c>
      <c r="T91" s="11">
        <v>3071280.8000000007</v>
      </c>
      <c r="U91" s="11">
        <v>3071280.8000000007</v>
      </c>
      <c r="V91" s="11">
        <v>3071280.8000000007</v>
      </c>
      <c r="W91" s="11">
        <v>3071280.8000000007</v>
      </c>
      <c r="X91" s="11">
        <v>3071280.8000000007</v>
      </c>
      <c r="Y91" s="11">
        <v>3071280.8000000007</v>
      </c>
      <c r="Z91" s="11">
        <v>3071280.8000000007</v>
      </c>
      <c r="AA91" s="11">
        <v>3071280.8000000007</v>
      </c>
      <c r="AB91" s="11">
        <v>3071280.8000000007</v>
      </c>
      <c r="AC91" s="11">
        <v>3071280.8000000007</v>
      </c>
      <c r="AD91" s="11">
        <v>3071280.8000000007</v>
      </c>
      <c r="AE91" s="11">
        <v>3071280.8000000007</v>
      </c>
      <c r="AF91" s="11">
        <v>3071280.8000000007</v>
      </c>
      <c r="AG91" s="11">
        <v>3071280.8000000007</v>
      </c>
      <c r="AH91" s="11">
        <v>3071280.8000000007</v>
      </c>
      <c r="AI91" s="11">
        <v>3071280.8000000007</v>
      </c>
      <c r="AJ91" s="11">
        <v>3071280.8000000007</v>
      </c>
    </row>
    <row r="92" spans="1:36" ht="18" x14ac:dyDescent="0.35">
      <c r="A92" s="4" t="s">
        <v>397</v>
      </c>
      <c r="B92" s="174" t="s">
        <v>398</v>
      </c>
      <c r="D92" s="11">
        <v>70039.035608999999</v>
      </c>
      <c r="E92" s="11">
        <v>68301.358269840013</v>
      </c>
      <c r="F92" s="11">
        <v>66315.441310800001</v>
      </c>
      <c r="G92" s="11">
        <v>64081.284731879998</v>
      </c>
      <c r="H92" s="11">
        <v>61847.128152960002</v>
      </c>
      <c r="I92" s="11">
        <v>59612.971574040013</v>
      </c>
      <c r="J92" s="11">
        <v>59116.49233428001</v>
      </c>
      <c r="K92" s="11">
        <v>59116.49233428001</v>
      </c>
      <c r="L92" s="11">
        <v>59116.49233428001</v>
      </c>
      <c r="M92" s="11">
        <v>59116.49233428001</v>
      </c>
      <c r="N92" s="11">
        <v>59116.49233428001</v>
      </c>
      <c r="O92" s="11">
        <v>59116.49233428001</v>
      </c>
      <c r="P92" s="11">
        <v>59116.49233428001</v>
      </c>
      <c r="Q92" s="11">
        <v>59116.49233428001</v>
      </c>
      <c r="R92" s="11">
        <v>59116.49233428001</v>
      </c>
      <c r="S92" s="11">
        <v>59116.49233428001</v>
      </c>
      <c r="T92" s="11">
        <v>59116.49233428001</v>
      </c>
      <c r="U92" s="11">
        <v>59116.49233428001</v>
      </c>
      <c r="V92" s="11">
        <v>59116.49233428001</v>
      </c>
      <c r="W92" s="11">
        <v>59116.49233428001</v>
      </c>
      <c r="X92" s="11">
        <v>59116.49233428001</v>
      </c>
      <c r="Y92" s="11">
        <v>59116.49233428001</v>
      </c>
      <c r="Z92" s="11">
        <v>59116.49233428001</v>
      </c>
      <c r="AA92" s="11">
        <v>59116.49233428001</v>
      </c>
      <c r="AB92" s="11">
        <v>59116.49233428001</v>
      </c>
      <c r="AC92" s="11">
        <v>59116.49233428001</v>
      </c>
      <c r="AD92" s="11">
        <v>59116.49233428001</v>
      </c>
      <c r="AE92" s="11">
        <v>59116.49233428001</v>
      </c>
      <c r="AF92" s="11">
        <v>59116.49233428001</v>
      </c>
      <c r="AG92" s="11">
        <v>59116.49233428001</v>
      </c>
      <c r="AH92" s="11">
        <v>59116.49233428001</v>
      </c>
      <c r="AI92" s="11">
        <v>59116.49233428001</v>
      </c>
      <c r="AJ92" s="11">
        <v>59116.49233428001</v>
      </c>
    </row>
    <row r="93" spans="1:36" ht="18" x14ac:dyDescent="0.35">
      <c r="A93" s="4" t="s">
        <v>399</v>
      </c>
      <c r="B93" s="174" t="s">
        <v>400</v>
      </c>
      <c r="D93" s="11">
        <v>70039.035608999999</v>
      </c>
      <c r="E93" s="11">
        <v>68301.358269840013</v>
      </c>
      <c r="F93" s="11">
        <v>66315.441310800001</v>
      </c>
      <c r="G93" s="11">
        <v>64081.284731879998</v>
      </c>
      <c r="H93" s="11">
        <v>61847.128152960002</v>
      </c>
      <c r="I93" s="11">
        <v>59612.971574040013</v>
      </c>
      <c r="J93" s="11">
        <v>59116.49233428001</v>
      </c>
      <c r="K93" s="11">
        <v>59116.49233428001</v>
      </c>
      <c r="L93" s="11">
        <v>59116.49233428001</v>
      </c>
      <c r="M93" s="11">
        <v>59116.49233428001</v>
      </c>
      <c r="N93" s="11">
        <v>59116.49233428001</v>
      </c>
      <c r="O93" s="11">
        <v>59116.49233428001</v>
      </c>
      <c r="P93" s="11">
        <v>59116.49233428001</v>
      </c>
      <c r="Q93" s="11">
        <v>59116.49233428001</v>
      </c>
      <c r="R93" s="11">
        <v>59116.49233428001</v>
      </c>
      <c r="S93" s="11">
        <v>59116.49233428001</v>
      </c>
      <c r="T93" s="11">
        <v>59116.49233428001</v>
      </c>
      <c r="U93" s="11">
        <v>59116.49233428001</v>
      </c>
      <c r="V93" s="11">
        <v>59116.49233428001</v>
      </c>
      <c r="W93" s="11">
        <v>59116.49233428001</v>
      </c>
      <c r="X93" s="11">
        <v>59116.49233428001</v>
      </c>
      <c r="Y93" s="11">
        <v>59116.49233428001</v>
      </c>
      <c r="Z93" s="11">
        <v>59116.49233428001</v>
      </c>
      <c r="AA93" s="11">
        <v>59116.49233428001</v>
      </c>
      <c r="AB93" s="11">
        <v>59116.49233428001</v>
      </c>
      <c r="AC93" s="11">
        <v>59116.49233428001</v>
      </c>
      <c r="AD93" s="11">
        <v>59116.49233428001</v>
      </c>
      <c r="AE93" s="11">
        <v>59116.49233428001</v>
      </c>
      <c r="AF93" s="11">
        <v>59116.49233428001</v>
      </c>
      <c r="AG93" s="11">
        <v>59116.49233428001</v>
      </c>
      <c r="AH93" s="11">
        <v>59116.49233428001</v>
      </c>
      <c r="AI93" s="11">
        <v>59116.49233428001</v>
      </c>
      <c r="AJ93" s="11">
        <v>59116.49233428001</v>
      </c>
    </row>
    <row r="94" spans="1:36" ht="18" x14ac:dyDescent="0.35">
      <c r="A94" s="4" t="s">
        <v>397</v>
      </c>
      <c r="B94" s="174" t="s">
        <v>401</v>
      </c>
      <c r="D94" s="11">
        <v>64435.912760280007</v>
      </c>
      <c r="E94" s="11">
        <v>62837.249608252816</v>
      </c>
      <c r="F94" s="11">
        <v>61010.206005936008</v>
      </c>
      <c r="G94" s="11">
        <v>58954.781953329606</v>
      </c>
      <c r="H94" s="11">
        <v>56899.357900723204</v>
      </c>
      <c r="I94" s="11">
        <v>54843.933848116816</v>
      </c>
      <c r="J94" s="11">
        <v>54387.17294753762</v>
      </c>
      <c r="K94" s="11">
        <v>54387.17294753762</v>
      </c>
      <c r="L94" s="11">
        <v>54387.17294753762</v>
      </c>
      <c r="M94" s="11">
        <v>54387.17294753762</v>
      </c>
      <c r="N94" s="11">
        <v>54387.17294753762</v>
      </c>
      <c r="O94" s="11">
        <v>54387.17294753762</v>
      </c>
      <c r="P94" s="11">
        <v>54387.17294753762</v>
      </c>
      <c r="Q94" s="11">
        <v>54387.17294753762</v>
      </c>
      <c r="R94" s="11">
        <v>54387.17294753762</v>
      </c>
      <c r="S94" s="11">
        <v>54387.17294753762</v>
      </c>
      <c r="T94" s="11">
        <v>54387.17294753762</v>
      </c>
      <c r="U94" s="11">
        <v>54387.17294753762</v>
      </c>
      <c r="V94" s="11">
        <v>54387.17294753762</v>
      </c>
      <c r="W94" s="11">
        <v>54387.17294753762</v>
      </c>
      <c r="X94" s="11">
        <v>54387.17294753762</v>
      </c>
      <c r="Y94" s="11">
        <v>54387.17294753762</v>
      </c>
      <c r="Z94" s="11">
        <v>54387.17294753762</v>
      </c>
      <c r="AA94" s="11">
        <v>54387.17294753762</v>
      </c>
      <c r="AB94" s="11">
        <v>54387.17294753762</v>
      </c>
      <c r="AC94" s="11">
        <v>54387.17294753762</v>
      </c>
      <c r="AD94" s="11">
        <v>54387.17294753762</v>
      </c>
      <c r="AE94" s="11">
        <v>54387.17294753762</v>
      </c>
      <c r="AF94" s="11">
        <v>54387.17294753762</v>
      </c>
      <c r="AG94" s="11">
        <v>54387.17294753762</v>
      </c>
      <c r="AH94" s="11">
        <v>54387.17294753762</v>
      </c>
      <c r="AI94" s="11">
        <v>54387.17294753762</v>
      </c>
      <c r="AJ94" s="11">
        <v>54387.17294753762</v>
      </c>
    </row>
    <row r="95" spans="1:36" ht="18" x14ac:dyDescent="0.35">
      <c r="A95" s="4" t="s">
        <v>399</v>
      </c>
      <c r="B95" s="174" t="s">
        <v>402</v>
      </c>
      <c r="D95" s="11">
        <v>64435.912760280007</v>
      </c>
      <c r="E95" s="11">
        <v>62837.249608252816</v>
      </c>
      <c r="F95" s="11">
        <v>61010.206005936008</v>
      </c>
      <c r="G95" s="11">
        <v>58954.781953329606</v>
      </c>
      <c r="H95" s="11">
        <v>56899.357900723204</v>
      </c>
      <c r="I95" s="11">
        <v>54843.933848116816</v>
      </c>
      <c r="J95" s="11">
        <v>54387.17294753762</v>
      </c>
      <c r="K95" s="11">
        <v>54387.17294753762</v>
      </c>
      <c r="L95" s="11">
        <v>54387.17294753762</v>
      </c>
      <c r="M95" s="11">
        <v>54387.17294753762</v>
      </c>
      <c r="N95" s="11">
        <v>54387.17294753762</v>
      </c>
      <c r="O95" s="11">
        <v>54387.17294753762</v>
      </c>
      <c r="P95" s="11">
        <v>54387.17294753762</v>
      </c>
      <c r="Q95" s="11">
        <v>54387.17294753762</v>
      </c>
      <c r="R95" s="11">
        <v>54387.17294753762</v>
      </c>
      <c r="S95" s="11">
        <v>54387.17294753762</v>
      </c>
      <c r="T95" s="11">
        <v>54387.17294753762</v>
      </c>
      <c r="U95" s="11">
        <v>54387.17294753762</v>
      </c>
      <c r="V95" s="11">
        <v>54387.17294753762</v>
      </c>
      <c r="W95" s="11">
        <v>54387.17294753762</v>
      </c>
      <c r="X95" s="11">
        <v>54387.17294753762</v>
      </c>
      <c r="Y95" s="11">
        <v>54387.17294753762</v>
      </c>
      <c r="Z95" s="11">
        <v>54387.17294753762</v>
      </c>
      <c r="AA95" s="11">
        <v>54387.17294753762</v>
      </c>
      <c r="AB95" s="11">
        <v>54387.17294753762</v>
      </c>
      <c r="AC95" s="11">
        <v>54387.17294753762</v>
      </c>
      <c r="AD95" s="11">
        <v>54387.17294753762</v>
      </c>
      <c r="AE95" s="11">
        <v>54387.17294753762</v>
      </c>
      <c r="AF95" s="11">
        <v>54387.17294753762</v>
      </c>
      <c r="AG95" s="11">
        <v>54387.17294753762</v>
      </c>
      <c r="AH95" s="11">
        <v>54387.17294753762</v>
      </c>
      <c r="AI95" s="11">
        <v>54387.17294753762</v>
      </c>
      <c r="AJ95" s="11">
        <v>54387.17294753762</v>
      </c>
    </row>
    <row r="96" spans="1:36" x14ac:dyDescent="0.25">
      <c r="A96" s="4" t="s">
        <v>403</v>
      </c>
      <c r="B96" s="174" t="s">
        <v>404</v>
      </c>
      <c r="D96" s="11">
        <v>1933.0773828084</v>
      </c>
      <c r="E96" s="11">
        <v>1885.1174882475843</v>
      </c>
      <c r="F96" s="11">
        <v>1830.30618017808</v>
      </c>
      <c r="G96" s="11">
        <v>1768.6434585998879</v>
      </c>
      <c r="H96" s="11">
        <v>1706.9807370216961</v>
      </c>
      <c r="I96" s="11">
        <v>1645.3180154435042</v>
      </c>
      <c r="J96" s="11">
        <v>1631.6151884261283</v>
      </c>
      <c r="K96" s="11">
        <v>1631.6151884261283</v>
      </c>
      <c r="L96" s="11">
        <v>1631.6151884261283</v>
      </c>
      <c r="M96" s="11">
        <v>1631.6151884261283</v>
      </c>
      <c r="N96" s="11">
        <v>1631.6151884261283</v>
      </c>
      <c r="O96" s="11">
        <v>1631.6151884261283</v>
      </c>
      <c r="P96" s="11">
        <v>1631.6151884261283</v>
      </c>
      <c r="Q96" s="11">
        <v>1631.6151884261283</v>
      </c>
      <c r="R96" s="11">
        <v>1631.6151884261283</v>
      </c>
      <c r="S96" s="11">
        <v>1631.6151884261283</v>
      </c>
      <c r="T96" s="11">
        <v>1631.6151884261283</v>
      </c>
      <c r="U96" s="11">
        <v>1631.6151884261283</v>
      </c>
      <c r="V96" s="11">
        <v>1631.6151884261283</v>
      </c>
      <c r="W96" s="11">
        <v>1631.6151884261283</v>
      </c>
      <c r="X96" s="11">
        <v>1631.6151884261283</v>
      </c>
      <c r="Y96" s="11">
        <v>1631.6151884261283</v>
      </c>
      <c r="Z96" s="11">
        <v>1631.6151884261283</v>
      </c>
      <c r="AA96" s="11">
        <v>1631.6151884261283</v>
      </c>
      <c r="AB96" s="11">
        <v>1631.6151884261283</v>
      </c>
      <c r="AC96" s="11">
        <v>1631.6151884261283</v>
      </c>
      <c r="AD96" s="11">
        <v>1631.6151884261283</v>
      </c>
      <c r="AE96" s="11">
        <v>1631.6151884261283</v>
      </c>
      <c r="AF96" s="11">
        <v>1631.6151884261283</v>
      </c>
      <c r="AG96" s="11">
        <v>1631.6151884261283</v>
      </c>
      <c r="AH96" s="11">
        <v>1631.6151884261283</v>
      </c>
      <c r="AI96" s="11">
        <v>1631.6151884261283</v>
      </c>
      <c r="AJ96" s="11">
        <v>1631.6151884261283</v>
      </c>
    </row>
    <row r="97" spans="1:36" x14ac:dyDescent="0.25">
      <c r="A97" s="4" t="s">
        <v>405</v>
      </c>
      <c r="B97" s="174" t="s">
        <v>406</v>
      </c>
      <c r="D97" s="11">
        <v>148520</v>
      </c>
      <c r="E97" s="11">
        <v>144835.20000000004</v>
      </c>
      <c r="F97" s="11">
        <v>140624</v>
      </c>
      <c r="G97" s="11">
        <v>135886.39999999999</v>
      </c>
      <c r="H97" s="11">
        <v>131148.80000000002</v>
      </c>
      <c r="I97" s="11">
        <v>126411.20000000003</v>
      </c>
      <c r="J97" s="11">
        <v>125358.40000000002</v>
      </c>
      <c r="K97" s="11">
        <v>125358.40000000002</v>
      </c>
      <c r="L97" s="11">
        <v>125358.40000000002</v>
      </c>
      <c r="M97" s="11">
        <v>125358.40000000002</v>
      </c>
      <c r="N97" s="11">
        <v>125358.40000000002</v>
      </c>
      <c r="O97" s="11">
        <v>125358.40000000002</v>
      </c>
      <c r="P97" s="11">
        <v>125358.40000000002</v>
      </c>
      <c r="Q97" s="11">
        <v>125358.40000000002</v>
      </c>
      <c r="R97" s="11">
        <v>125358.40000000002</v>
      </c>
      <c r="S97" s="11">
        <v>125358.40000000002</v>
      </c>
      <c r="T97" s="11">
        <v>125358.40000000002</v>
      </c>
      <c r="U97" s="11">
        <v>125358.40000000002</v>
      </c>
      <c r="V97" s="11">
        <v>125358.40000000002</v>
      </c>
      <c r="W97" s="11">
        <v>125358.40000000002</v>
      </c>
      <c r="X97" s="11">
        <v>125358.40000000002</v>
      </c>
      <c r="Y97" s="11">
        <v>125358.40000000002</v>
      </c>
      <c r="Z97" s="11">
        <v>125358.40000000002</v>
      </c>
      <c r="AA97" s="11">
        <v>125358.40000000002</v>
      </c>
      <c r="AB97" s="11">
        <v>125358.40000000002</v>
      </c>
      <c r="AC97" s="11">
        <v>125358.40000000002</v>
      </c>
      <c r="AD97" s="11">
        <v>125358.40000000002</v>
      </c>
      <c r="AE97" s="11">
        <v>125358.40000000002</v>
      </c>
      <c r="AF97" s="11">
        <v>125358.40000000002</v>
      </c>
      <c r="AG97" s="11">
        <v>125358.40000000002</v>
      </c>
      <c r="AH97" s="11">
        <v>125358.40000000002</v>
      </c>
      <c r="AI97" s="11">
        <v>125358.40000000002</v>
      </c>
      <c r="AJ97" s="11">
        <v>125358.40000000002</v>
      </c>
    </row>
    <row r="98" spans="1:36" ht="30" x14ac:dyDescent="0.25">
      <c r="A98" s="4" t="s">
        <v>407</v>
      </c>
      <c r="B98" s="174" t="s">
        <v>408</v>
      </c>
      <c r="D98" s="11">
        <v>156391.56</v>
      </c>
      <c r="E98" s="11">
        <v>152511.46560000003</v>
      </c>
      <c r="F98" s="11">
        <v>148077.07200000001</v>
      </c>
      <c r="G98" s="11">
        <v>143088.3792</v>
      </c>
      <c r="H98" s="11">
        <v>138099.68640000001</v>
      </c>
      <c r="I98" s="11">
        <v>133110.99360000002</v>
      </c>
      <c r="J98" s="11">
        <v>132002.39520000003</v>
      </c>
      <c r="K98" s="11">
        <v>132002.39520000003</v>
      </c>
      <c r="L98" s="11">
        <v>132002.39520000003</v>
      </c>
      <c r="M98" s="11">
        <v>132002.39520000003</v>
      </c>
      <c r="N98" s="11">
        <v>132002.39520000003</v>
      </c>
      <c r="O98" s="11">
        <v>132002.39520000003</v>
      </c>
      <c r="P98" s="11">
        <v>132002.39520000003</v>
      </c>
      <c r="Q98" s="11">
        <v>132002.39520000003</v>
      </c>
      <c r="R98" s="11">
        <v>132002.39520000003</v>
      </c>
      <c r="S98" s="11">
        <v>132002.39520000003</v>
      </c>
      <c r="T98" s="11">
        <v>132002.39520000003</v>
      </c>
      <c r="U98" s="11">
        <v>132002.39520000003</v>
      </c>
      <c r="V98" s="11">
        <v>132002.39520000003</v>
      </c>
      <c r="W98" s="11">
        <v>132002.39520000003</v>
      </c>
      <c r="X98" s="11">
        <v>132002.39520000003</v>
      </c>
      <c r="Y98" s="11">
        <v>132002.39520000003</v>
      </c>
      <c r="Z98" s="11">
        <v>132002.39520000003</v>
      </c>
      <c r="AA98" s="11">
        <v>132002.39520000003</v>
      </c>
      <c r="AB98" s="11">
        <v>132002.39520000003</v>
      </c>
      <c r="AC98" s="11">
        <v>132002.39520000003</v>
      </c>
      <c r="AD98" s="11">
        <v>132002.39520000003</v>
      </c>
      <c r="AE98" s="11">
        <v>132002.39520000003</v>
      </c>
      <c r="AF98" s="11">
        <v>132002.39520000003</v>
      </c>
      <c r="AG98" s="11">
        <v>132002.39520000003</v>
      </c>
      <c r="AH98" s="11">
        <v>132002.39520000003</v>
      </c>
      <c r="AI98" s="11">
        <v>132002.39520000003</v>
      </c>
      <c r="AJ98" s="11">
        <v>132002.39520000003</v>
      </c>
    </row>
    <row r="99" spans="1:36" ht="18" x14ac:dyDescent="0.35">
      <c r="A99" s="4" t="s">
        <v>409</v>
      </c>
      <c r="B99" s="174" t="s">
        <v>410</v>
      </c>
      <c r="D99" s="11">
        <v>2970.4</v>
      </c>
      <c r="E99" s="11">
        <v>2896.7040000000006</v>
      </c>
      <c r="F99" s="11">
        <v>2812.48</v>
      </c>
      <c r="G99" s="11">
        <v>2717.7280000000001</v>
      </c>
      <c r="H99" s="11">
        <v>2622.9760000000001</v>
      </c>
      <c r="I99" s="11">
        <v>2528.2240000000006</v>
      </c>
      <c r="J99" s="11">
        <v>2507.1680000000006</v>
      </c>
      <c r="K99" s="11">
        <v>2507.1680000000006</v>
      </c>
      <c r="L99" s="11">
        <v>2507.1680000000006</v>
      </c>
      <c r="M99" s="11">
        <v>2507.1680000000006</v>
      </c>
      <c r="N99" s="11">
        <v>2507.1680000000006</v>
      </c>
      <c r="O99" s="11">
        <v>2507.1680000000006</v>
      </c>
      <c r="P99" s="11">
        <v>2507.1680000000006</v>
      </c>
      <c r="Q99" s="11">
        <v>2507.1680000000006</v>
      </c>
      <c r="R99" s="11">
        <v>2507.1680000000006</v>
      </c>
      <c r="S99" s="11">
        <v>2507.1680000000006</v>
      </c>
      <c r="T99" s="11">
        <v>2507.1680000000006</v>
      </c>
      <c r="U99" s="11">
        <v>2507.1680000000006</v>
      </c>
      <c r="V99" s="11">
        <v>2507.1680000000006</v>
      </c>
      <c r="W99" s="11">
        <v>2507.1680000000006</v>
      </c>
      <c r="X99" s="11">
        <v>2507.1680000000006</v>
      </c>
      <c r="Y99" s="11">
        <v>2507.1680000000006</v>
      </c>
      <c r="Z99" s="11">
        <v>2507.1680000000006</v>
      </c>
      <c r="AA99" s="11">
        <v>2507.1680000000006</v>
      </c>
      <c r="AB99" s="11">
        <v>2507.1680000000006</v>
      </c>
      <c r="AC99" s="11">
        <v>2507.1680000000006</v>
      </c>
      <c r="AD99" s="11">
        <v>2507.1680000000006</v>
      </c>
      <c r="AE99" s="11">
        <v>2507.1680000000006</v>
      </c>
      <c r="AF99" s="11">
        <v>2507.1680000000006</v>
      </c>
      <c r="AG99" s="11">
        <v>2507.1680000000006</v>
      </c>
      <c r="AH99" s="11">
        <v>2507.1680000000006</v>
      </c>
      <c r="AI99" s="11">
        <v>2507.1680000000006</v>
      </c>
      <c r="AJ99" s="11">
        <v>2507.1680000000006</v>
      </c>
    </row>
    <row r="100" spans="1:36" x14ac:dyDescent="0.25">
      <c r="A100" s="4" t="s">
        <v>411</v>
      </c>
      <c r="B100" s="174" t="s">
        <v>412</v>
      </c>
      <c r="D100" s="11">
        <v>408430.00000000006</v>
      </c>
      <c r="E100" s="11">
        <v>398296.8000000001</v>
      </c>
      <c r="F100" s="11">
        <v>386716.00000000006</v>
      </c>
      <c r="G100" s="11">
        <v>373687.60000000003</v>
      </c>
      <c r="H100" s="11">
        <v>360659.20000000001</v>
      </c>
      <c r="I100" s="11">
        <v>347630.8000000001</v>
      </c>
      <c r="J100" s="11">
        <v>344735.60000000009</v>
      </c>
      <c r="K100" s="11">
        <v>344735.60000000009</v>
      </c>
      <c r="L100" s="11">
        <v>344735.60000000009</v>
      </c>
      <c r="M100" s="11">
        <v>344735.60000000009</v>
      </c>
      <c r="N100" s="11">
        <v>344735.60000000009</v>
      </c>
      <c r="O100" s="11">
        <v>344735.60000000009</v>
      </c>
      <c r="P100" s="11">
        <v>344735.60000000009</v>
      </c>
      <c r="Q100" s="11">
        <v>344735.60000000009</v>
      </c>
      <c r="R100" s="11">
        <v>344735.60000000009</v>
      </c>
      <c r="S100" s="11">
        <v>344735.60000000009</v>
      </c>
      <c r="T100" s="11">
        <v>344735.60000000009</v>
      </c>
      <c r="U100" s="11">
        <v>344735.60000000009</v>
      </c>
      <c r="V100" s="11">
        <v>344735.60000000009</v>
      </c>
      <c r="W100" s="11">
        <v>344735.60000000009</v>
      </c>
      <c r="X100" s="11">
        <v>344735.60000000009</v>
      </c>
      <c r="Y100" s="11">
        <v>344735.60000000009</v>
      </c>
      <c r="Z100" s="11">
        <v>344735.60000000009</v>
      </c>
      <c r="AA100" s="11">
        <v>344735.60000000009</v>
      </c>
      <c r="AB100" s="11">
        <v>344735.60000000009</v>
      </c>
      <c r="AC100" s="11">
        <v>344735.60000000009</v>
      </c>
      <c r="AD100" s="11">
        <v>344735.60000000009</v>
      </c>
      <c r="AE100" s="11">
        <v>344735.60000000009</v>
      </c>
      <c r="AF100" s="11">
        <v>344735.60000000009</v>
      </c>
      <c r="AG100" s="11">
        <v>344735.60000000009</v>
      </c>
      <c r="AH100" s="11">
        <v>344735.60000000009</v>
      </c>
      <c r="AI100" s="11">
        <v>344735.60000000009</v>
      </c>
      <c r="AJ100" s="11">
        <v>344735.60000000009</v>
      </c>
    </row>
    <row r="101" spans="1:36" ht="18" x14ac:dyDescent="0.35">
      <c r="A101" s="4" t="s">
        <v>413</v>
      </c>
      <c r="B101" s="174" t="s">
        <v>414</v>
      </c>
      <c r="D101" s="11">
        <v>10767.7</v>
      </c>
      <c r="E101" s="11">
        <v>10500.552000000001</v>
      </c>
      <c r="F101" s="11">
        <v>10195.24</v>
      </c>
      <c r="G101" s="11">
        <v>9851.764000000001</v>
      </c>
      <c r="H101" s="11">
        <v>9508.2880000000005</v>
      </c>
      <c r="I101" s="11">
        <v>9164.8120000000017</v>
      </c>
      <c r="J101" s="11">
        <v>9088.4840000000022</v>
      </c>
      <c r="K101" s="11">
        <v>9088.4840000000022</v>
      </c>
      <c r="L101" s="11">
        <v>9088.4840000000022</v>
      </c>
      <c r="M101" s="11">
        <v>9088.4840000000022</v>
      </c>
      <c r="N101" s="11">
        <v>9088.4840000000022</v>
      </c>
      <c r="O101" s="11">
        <v>9088.4840000000022</v>
      </c>
      <c r="P101" s="11">
        <v>9088.4840000000022</v>
      </c>
      <c r="Q101" s="11">
        <v>9088.4840000000022</v>
      </c>
      <c r="R101" s="11">
        <v>9088.4840000000022</v>
      </c>
      <c r="S101" s="11">
        <v>9088.4840000000022</v>
      </c>
      <c r="T101" s="11">
        <v>9088.4840000000022</v>
      </c>
      <c r="U101" s="11">
        <v>9088.4840000000022</v>
      </c>
      <c r="V101" s="11">
        <v>9088.4840000000022</v>
      </c>
      <c r="W101" s="11">
        <v>9088.4840000000022</v>
      </c>
      <c r="X101" s="11">
        <v>9088.4840000000022</v>
      </c>
      <c r="Y101" s="11">
        <v>9088.4840000000022</v>
      </c>
      <c r="Z101" s="11">
        <v>9088.4840000000022</v>
      </c>
      <c r="AA101" s="11">
        <v>9088.4840000000022</v>
      </c>
      <c r="AB101" s="11">
        <v>9088.4840000000022</v>
      </c>
      <c r="AC101" s="11">
        <v>9088.4840000000022</v>
      </c>
      <c r="AD101" s="11">
        <v>9088.4840000000022</v>
      </c>
      <c r="AE101" s="11">
        <v>9088.4840000000022</v>
      </c>
      <c r="AF101" s="11">
        <v>9088.4840000000022</v>
      </c>
      <c r="AG101" s="11">
        <v>9088.4840000000022</v>
      </c>
      <c r="AH101" s="11">
        <v>9088.4840000000022</v>
      </c>
      <c r="AI101" s="11">
        <v>9088.4840000000022</v>
      </c>
      <c r="AJ101" s="11">
        <v>9088.4840000000022</v>
      </c>
    </row>
    <row r="102" spans="1:36" ht="18" x14ac:dyDescent="0.35">
      <c r="A102" s="4" t="s">
        <v>415</v>
      </c>
      <c r="B102" s="174" t="s">
        <v>416</v>
      </c>
      <c r="D102" s="11">
        <v>16597852.6</v>
      </c>
      <c r="E102" s="11">
        <v>16186057.776000002</v>
      </c>
      <c r="F102" s="11">
        <v>15715435.119999999</v>
      </c>
      <c r="G102" s="11">
        <v>15185984.631999999</v>
      </c>
      <c r="H102" s="11">
        <v>14656534.143999999</v>
      </c>
      <c r="I102" s="11">
        <v>14127083.656000001</v>
      </c>
      <c r="J102" s="11">
        <v>14009427.992000002</v>
      </c>
      <c r="K102" s="11">
        <v>14009427.992000002</v>
      </c>
      <c r="L102" s="11">
        <v>14009427.992000002</v>
      </c>
      <c r="M102" s="11">
        <v>14009427.992000002</v>
      </c>
      <c r="N102" s="11">
        <v>14009427.992000002</v>
      </c>
      <c r="O102" s="11">
        <v>14009427.992000002</v>
      </c>
      <c r="P102" s="11">
        <v>14009427.992000002</v>
      </c>
      <c r="Q102" s="11">
        <v>14009427.992000002</v>
      </c>
      <c r="R102" s="11">
        <v>14009427.992000002</v>
      </c>
      <c r="S102" s="11">
        <v>14009427.992000002</v>
      </c>
      <c r="T102" s="11">
        <v>14009427.992000002</v>
      </c>
      <c r="U102" s="11">
        <v>14009427.992000002</v>
      </c>
      <c r="V102" s="11">
        <v>14009427.992000002</v>
      </c>
      <c r="W102" s="11">
        <v>14009427.992000002</v>
      </c>
      <c r="X102" s="11">
        <v>14009427.992000002</v>
      </c>
      <c r="Y102" s="11">
        <v>14009427.992000002</v>
      </c>
      <c r="Z102" s="11">
        <v>14009427.992000002</v>
      </c>
      <c r="AA102" s="11">
        <v>14009427.992000002</v>
      </c>
      <c r="AB102" s="11">
        <v>14009427.992000002</v>
      </c>
      <c r="AC102" s="11">
        <v>14009427.992000002</v>
      </c>
      <c r="AD102" s="11">
        <v>14009427.992000002</v>
      </c>
      <c r="AE102" s="11">
        <v>14009427.992000002</v>
      </c>
      <c r="AF102" s="11">
        <v>14009427.992000002</v>
      </c>
      <c r="AG102" s="11">
        <v>14009427.992000002</v>
      </c>
      <c r="AH102" s="11">
        <v>14009427.992000002</v>
      </c>
      <c r="AI102" s="11">
        <v>14009427.992000002</v>
      </c>
      <c r="AJ102" s="11">
        <v>14009427.992000002</v>
      </c>
    </row>
    <row r="103" spans="1:36" ht="18" x14ac:dyDescent="0.35">
      <c r="A103" s="4" t="s">
        <v>417</v>
      </c>
      <c r="B103" s="174" t="s">
        <v>418</v>
      </c>
      <c r="D103" s="11">
        <v>157523.28982599999</v>
      </c>
      <c r="E103" s="11">
        <v>153615.11706576002</v>
      </c>
      <c r="F103" s="11">
        <v>149148.63391120001</v>
      </c>
      <c r="G103" s="11">
        <v>144123.84036232001</v>
      </c>
      <c r="H103" s="11">
        <v>139099.04681344001</v>
      </c>
      <c r="I103" s="11">
        <v>134074.25326456001</v>
      </c>
      <c r="J103" s="11">
        <v>132957.63247592002</v>
      </c>
      <c r="K103" s="11">
        <v>132957.63247592002</v>
      </c>
      <c r="L103" s="11">
        <v>132957.63247592002</v>
      </c>
      <c r="M103" s="11">
        <v>132957.63247592002</v>
      </c>
      <c r="N103" s="11">
        <v>132957.63247592002</v>
      </c>
      <c r="O103" s="11">
        <v>132957.63247592002</v>
      </c>
      <c r="P103" s="11">
        <v>132957.63247592002</v>
      </c>
      <c r="Q103" s="11">
        <v>132957.63247592002</v>
      </c>
      <c r="R103" s="11">
        <v>132957.63247592002</v>
      </c>
      <c r="S103" s="11">
        <v>132957.63247592002</v>
      </c>
      <c r="T103" s="11">
        <v>132957.63247592002</v>
      </c>
      <c r="U103" s="11">
        <v>132957.63247592002</v>
      </c>
      <c r="V103" s="11">
        <v>132957.63247592002</v>
      </c>
      <c r="W103" s="11">
        <v>132957.63247592002</v>
      </c>
      <c r="X103" s="11">
        <v>132957.63247592002</v>
      </c>
      <c r="Y103" s="11">
        <v>132957.63247592002</v>
      </c>
      <c r="Z103" s="11">
        <v>132957.63247592002</v>
      </c>
      <c r="AA103" s="11">
        <v>132957.63247592002</v>
      </c>
      <c r="AB103" s="11">
        <v>132957.63247592002</v>
      </c>
      <c r="AC103" s="11">
        <v>132957.63247592002</v>
      </c>
      <c r="AD103" s="11">
        <v>132957.63247592002</v>
      </c>
      <c r="AE103" s="11">
        <v>132957.63247592002</v>
      </c>
      <c r="AF103" s="11">
        <v>132957.63247592002</v>
      </c>
      <c r="AG103" s="11">
        <v>132957.63247592002</v>
      </c>
      <c r="AH103" s="11">
        <v>132957.63247592002</v>
      </c>
      <c r="AI103" s="11">
        <v>132957.63247592002</v>
      </c>
      <c r="AJ103" s="11">
        <v>132957.63247592002</v>
      </c>
    </row>
    <row r="104" spans="1:36" x14ac:dyDescent="0.25">
      <c r="D104" s="11"/>
      <c r="E104" s="11"/>
      <c r="F104" s="11"/>
      <c r="G104" s="11"/>
      <c r="H104" s="11"/>
      <c r="I104" s="11"/>
      <c r="J104" s="11"/>
      <c r="K104" s="11"/>
      <c r="L104" s="11"/>
      <c r="M104" s="11"/>
      <c r="N104" s="11"/>
      <c r="O104" s="11"/>
      <c r="P104" s="11"/>
      <c r="Q104" s="11"/>
      <c r="R104" s="11"/>
      <c r="S104" s="11"/>
      <c r="T104" s="11"/>
      <c r="U104" s="11"/>
      <c r="V104" s="11"/>
      <c r="W104" s="11"/>
      <c r="X104" s="11"/>
    </row>
    <row r="105" spans="1:36" x14ac:dyDescent="0.25">
      <c r="A105" s="182" t="s">
        <v>424</v>
      </c>
      <c r="B105" s="183"/>
      <c r="C105" s="183"/>
      <c r="D105" s="184"/>
      <c r="E105" s="184"/>
      <c r="F105" s="184"/>
      <c r="G105" s="184"/>
      <c r="H105" s="184"/>
      <c r="I105" s="184"/>
      <c r="J105" s="184"/>
      <c r="K105" s="184"/>
      <c r="L105" s="184"/>
      <c r="M105" s="184"/>
      <c r="N105" s="184"/>
      <c r="O105" s="184"/>
      <c r="P105" s="184"/>
      <c r="Q105" s="184"/>
      <c r="R105" s="184"/>
      <c r="S105" s="184"/>
      <c r="T105" s="184"/>
      <c r="U105" s="184"/>
      <c r="V105" s="184"/>
      <c r="W105" s="184"/>
      <c r="X105" s="184"/>
      <c r="Y105" s="184"/>
      <c r="Z105" s="184"/>
      <c r="AA105" s="184"/>
      <c r="AB105" s="184"/>
      <c r="AC105" s="184"/>
      <c r="AD105" s="184"/>
      <c r="AE105" s="184"/>
      <c r="AF105" s="184"/>
      <c r="AG105" s="184"/>
      <c r="AH105" s="184"/>
      <c r="AI105" s="184"/>
      <c r="AJ105" s="184"/>
    </row>
    <row r="106" spans="1:36" x14ac:dyDescent="0.25">
      <c r="A106" s="4" t="s">
        <v>396</v>
      </c>
      <c r="B106" s="174" t="s">
        <v>91</v>
      </c>
      <c r="D106" s="11">
        <v>60750</v>
      </c>
      <c r="E106" s="11">
        <v>60750</v>
      </c>
      <c r="F106" s="11">
        <v>60750</v>
      </c>
      <c r="G106" s="11">
        <v>60750</v>
      </c>
      <c r="H106" s="11">
        <v>60750</v>
      </c>
      <c r="I106" s="11">
        <v>60750</v>
      </c>
      <c r="J106" s="11">
        <v>60750</v>
      </c>
      <c r="K106" s="11">
        <v>60750</v>
      </c>
      <c r="L106" s="11">
        <v>60750</v>
      </c>
      <c r="M106" s="11">
        <v>60750</v>
      </c>
      <c r="N106" s="11">
        <v>60750</v>
      </c>
      <c r="O106" s="11">
        <v>60750</v>
      </c>
      <c r="P106" s="11">
        <v>60750</v>
      </c>
      <c r="Q106" s="11">
        <v>60750</v>
      </c>
      <c r="R106" s="11">
        <v>60750</v>
      </c>
      <c r="S106" s="11">
        <v>60750</v>
      </c>
      <c r="T106" s="11">
        <v>60750</v>
      </c>
      <c r="U106" s="11">
        <v>60750</v>
      </c>
      <c r="V106" s="11">
        <v>60750</v>
      </c>
      <c r="W106" s="11">
        <v>60750</v>
      </c>
      <c r="X106" s="11">
        <v>60750</v>
      </c>
      <c r="Y106" s="11">
        <v>60750</v>
      </c>
      <c r="Z106" s="11">
        <v>60750</v>
      </c>
      <c r="AA106" s="11">
        <v>60750</v>
      </c>
      <c r="AB106" s="11">
        <v>60750</v>
      </c>
      <c r="AC106" s="11">
        <v>60750</v>
      </c>
      <c r="AD106" s="11">
        <v>60750</v>
      </c>
      <c r="AE106" s="11">
        <v>60750</v>
      </c>
      <c r="AF106" s="11">
        <v>60750</v>
      </c>
      <c r="AG106" s="11">
        <v>60750</v>
      </c>
      <c r="AH106" s="11">
        <v>60750</v>
      </c>
      <c r="AI106" s="11">
        <v>60750</v>
      </c>
      <c r="AJ106" s="11">
        <v>60750</v>
      </c>
    </row>
    <row r="107" spans="1:36" ht="18" x14ac:dyDescent="0.35">
      <c r="A107" s="4" t="s">
        <v>397</v>
      </c>
      <c r="B107" s="174" t="s">
        <v>398</v>
      </c>
      <c r="D107" s="11">
        <v>6126.2426249999999</v>
      </c>
      <c r="E107" s="11">
        <v>6126.2426249999999</v>
      </c>
      <c r="F107" s="11">
        <v>6126.2426249999999</v>
      </c>
      <c r="G107" s="11">
        <v>6126.2426249999999</v>
      </c>
      <c r="H107" s="11">
        <v>6126.2426249999999</v>
      </c>
      <c r="I107" s="11">
        <v>6126.2426249999999</v>
      </c>
      <c r="J107" s="11">
        <v>6126.2426249999999</v>
      </c>
      <c r="K107" s="11">
        <v>6126.2426249999999</v>
      </c>
      <c r="L107" s="11">
        <v>6126.2426249999999</v>
      </c>
      <c r="M107" s="11">
        <v>6126.2426249999999</v>
      </c>
      <c r="N107" s="11">
        <v>6126.2426249999999</v>
      </c>
      <c r="O107" s="11">
        <v>6126.2426249999999</v>
      </c>
      <c r="P107" s="11">
        <v>6126.2426249999999</v>
      </c>
      <c r="Q107" s="11">
        <v>6126.2426249999999</v>
      </c>
      <c r="R107" s="11">
        <v>6126.2426249999999</v>
      </c>
      <c r="S107" s="11">
        <v>6126.2426249999999</v>
      </c>
      <c r="T107" s="11">
        <v>6126.2426249999999</v>
      </c>
      <c r="U107" s="11">
        <v>6126.2426249999999</v>
      </c>
      <c r="V107" s="11">
        <v>6126.2426249999999</v>
      </c>
      <c r="W107" s="11">
        <v>6126.2426249999999</v>
      </c>
      <c r="X107" s="11">
        <v>6126.2426249999999</v>
      </c>
      <c r="Y107" s="11">
        <v>6126.2426249999999</v>
      </c>
      <c r="Z107" s="11">
        <v>6126.2426249999999</v>
      </c>
      <c r="AA107" s="11">
        <v>6126.2426249999999</v>
      </c>
      <c r="AB107" s="11">
        <v>6126.2426249999999</v>
      </c>
      <c r="AC107" s="11">
        <v>6126.2426249999999</v>
      </c>
      <c r="AD107" s="11">
        <v>6126.2426249999999</v>
      </c>
      <c r="AE107" s="11">
        <v>6126.2426249999999</v>
      </c>
      <c r="AF107" s="11">
        <v>6126.2426249999999</v>
      </c>
      <c r="AG107" s="11">
        <v>6126.2426249999999</v>
      </c>
      <c r="AH107" s="11">
        <v>6126.2426249999999</v>
      </c>
      <c r="AI107" s="11">
        <v>6126.2426249999999</v>
      </c>
      <c r="AJ107" s="11">
        <v>6126.2426249999999</v>
      </c>
    </row>
    <row r="108" spans="1:36" ht="18" x14ac:dyDescent="0.35">
      <c r="A108" s="4" t="s">
        <v>399</v>
      </c>
      <c r="B108" s="174" t="s">
        <v>400</v>
      </c>
      <c r="D108" s="11">
        <v>0</v>
      </c>
      <c r="E108" s="11">
        <v>0</v>
      </c>
      <c r="F108" s="11">
        <v>0</v>
      </c>
      <c r="G108" s="11">
        <v>0</v>
      </c>
      <c r="H108" s="11">
        <v>0</v>
      </c>
      <c r="I108" s="11">
        <v>0</v>
      </c>
      <c r="J108" s="11">
        <v>0</v>
      </c>
      <c r="K108" s="11">
        <v>0</v>
      </c>
      <c r="L108" s="11">
        <v>0</v>
      </c>
      <c r="M108" s="11">
        <v>0</v>
      </c>
      <c r="N108" s="11">
        <v>0</v>
      </c>
      <c r="O108" s="11">
        <v>0</v>
      </c>
      <c r="P108" s="11">
        <v>0</v>
      </c>
      <c r="Q108" s="11">
        <v>0</v>
      </c>
      <c r="R108" s="11">
        <v>0</v>
      </c>
      <c r="S108" s="11">
        <v>0</v>
      </c>
      <c r="T108" s="11">
        <v>0</v>
      </c>
      <c r="U108" s="11">
        <v>0</v>
      </c>
      <c r="V108" s="11">
        <v>0</v>
      </c>
      <c r="W108" s="11">
        <v>0</v>
      </c>
      <c r="X108" s="11">
        <v>0</v>
      </c>
      <c r="Y108" s="11">
        <v>0</v>
      </c>
      <c r="Z108" s="11">
        <v>0</v>
      </c>
      <c r="AA108" s="11">
        <v>0</v>
      </c>
      <c r="AB108" s="11">
        <v>0</v>
      </c>
      <c r="AC108" s="11">
        <v>0</v>
      </c>
      <c r="AD108" s="11">
        <v>0</v>
      </c>
      <c r="AE108" s="11">
        <v>0</v>
      </c>
      <c r="AF108" s="11">
        <v>0</v>
      </c>
      <c r="AG108" s="11">
        <v>0</v>
      </c>
      <c r="AH108" s="11">
        <v>0</v>
      </c>
      <c r="AI108" s="11">
        <v>0</v>
      </c>
      <c r="AJ108" s="11">
        <v>0</v>
      </c>
    </row>
    <row r="109" spans="1:36" ht="18" x14ac:dyDescent="0.35">
      <c r="A109" s="4" t="s">
        <v>397</v>
      </c>
      <c r="B109" s="174" t="s">
        <v>401</v>
      </c>
      <c r="D109" s="11">
        <v>5636.1432150000001</v>
      </c>
      <c r="E109" s="11">
        <v>5636.1432150000001</v>
      </c>
      <c r="F109" s="11">
        <v>5636.1432150000001</v>
      </c>
      <c r="G109" s="11">
        <v>5636.1432150000001</v>
      </c>
      <c r="H109" s="11">
        <v>5636.1432150000001</v>
      </c>
      <c r="I109" s="11">
        <v>5636.1432150000001</v>
      </c>
      <c r="J109" s="11">
        <v>5636.1432150000001</v>
      </c>
      <c r="K109" s="11">
        <v>5636.1432150000001</v>
      </c>
      <c r="L109" s="11">
        <v>5636.1432150000001</v>
      </c>
      <c r="M109" s="11">
        <v>5636.1432150000001</v>
      </c>
      <c r="N109" s="11">
        <v>5636.1432150000001</v>
      </c>
      <c r="O109" s="11">
        <v>5636.1432150000001</v>
      </c>
      <c r="P109" s="11">
        <v>5636.1432150000001</v>
      </c>
      <c r="Q109" s="11">
        <v>5636.1432150000001</v>
      </c>
      <c r="R109" s="11">
        <v>5636.1432150000001</v>
      </c>
      <c r="S109" s="11">
        <v>5636.1432150000001</v>
      </c>
      <c r="T109" s="11">
        <v>5636.1432150000001</v>
      </c>
      <c r="U109" s="11">
        <v>5636.1432150000001</v>
      </c>
      <c r="V109" s="11">
        <v>5636.1432150000001</v>
      </c>
      <c r="W109" s="11">
        <v>5636.1432150000001</v>
      </c>
      <c r="X109" s="11">
        <v>5636.1432150000001</v>
      </c>
      <c r="Y109" s="11">
        <v>5636.1432150000001</v>
      </c>
      <c r="Z109" s="11">
        <v>5636.1432150000001</v>
      </c>
      <c r="AA109" s="11">
        <v>5636.1432150000001</v>
      </c>
      <c r="AB109" s="11">
        <v>5636.1432150000001</v>
      </c>
      <c r="AC109" s="11">
        <v>5636.1432150000001</v>
      </c>
      <c r="AD109" s="11">
        <v>5636.1432150000001</v>
      </c>
      <c r="AE109" s="11">
        <v>5636.1432150000001</v>
      </c>
      <c r="AF109" s="11">
        <v>5636.1432150000001</v>
      </c>
      <c r="AG109" s="11">
        <v>5636.1432150000001</v>
      </c>
      <c r="AH109" s="11">
        <v>5636.1432150000001</v>
      </c>
      <c r="AI109" s="11">
        <v>5636.1432150000001</v>
      </c>
      <c r="AJ109" s="11">
        <v>5636.1432150000001</v>
      </c>
    </row>
    <row r="110" spans="1:36" ht="18" x14ac:dyDescent="0.35">
      <c r="A110" s="4" t="s">
        <v>399</v>
      </c>
      <c r="B110" s="174" t="s">
        <v>402</v>
      </c>
      <c r="D110" s="11">
        <v>0</v>
      </c>
      <c r="E110" s="11">
        <v>0</v>
      </c>
      <c r="F110" s="11">
        <v>0</v>
      </c>
      <c r="G110" s="11">
        <v>0</v>
      </c>
      <c r="H110" s="11">
        <v>0</v>
      </c>
      <c r="I110" s="11">
        <v>0</v>
      </c>
      <c r="J110" s="11">
        <v>0</v>
      </c>
      <c r="K110" s="11">
        <v>0</v>
      </c>
      <c r="L110" s="11">
        <v>0</v>
      </c>
      <c r="M110" s="11">
        <v>0</v>
      </c>
      <c r="N110" s="11">
        <v>0</v>
      </c>
      <c r="O110" s="11">
        <v>0</v>
      </c>
      <c r="P110" s="11">
        <v>0</v>
      </c>
      <c r="Q110" s="11">
        <v>0</v>
      </c>
      <c r="R110" s="11">
        <v>0</v>
      </c>
      <c r="S110" s="11">
        <v>0</v>
      </c>
      <c r="T110" s="11">
        <v>0</v>
      </c>
      <c r="U110" s="11">
        <v>0</v>
      </c>
      <c r="V110" s="11">
        <v>0</v>
      </c>
      <c r="W110" s="11">
        <v>0</v>
      </c>
      <c r="X110" s="11">
        <v>0</v>
      </c>
      <c r="Y110" s="11">
        <v>0</v>
      </c>
      <c r="Z110" s="11">
        <v>0</v>
      </c>
      <c r="AA110" s="11">
        <v>0</v>
      </c>
      <c r="AB110" s="11">
        <v>0</v>
      </c>
      <c r="AC110" s="11">
        <v>0</v>
      </c>
      <c r="AD110" s="11">
        <v>0</v>
      </c>
      <c r="AE110" s="11">
        <v>0</v>
      </c>
      <c r="AF110" s="11">
        <v>0</v>
      </c>
      <c r="AG110" s="11">
        <v>0</v>
      </c>
      <c r="AH110" s="11">
        <v>0</v>
      </c>
      <c r="AI110" s="11">
        <v>0</v>
      </c>
      <c r="AJ110" s="11">
        <v>0</v>
      </c>
    </row>
    <row r="111" spans="1:36" x14ac:dyDescent="0.25">
      <c r="A111" s="4" t="s">
        <v>403</v>
      </c>
      <c r="B111" s="174" t="s">
        <v>404</v>
      </c>
      <c r="D111" s="11">
        <v>169.08429644999998</v>
      </c>
      <c r="E111" s="11">
        <v>169.08429644999998</v>
      </c>
      <c r="F111" s="11">
        <v>169.08429644999998</v>
      </c>
      <c r="G111" s="11">
        <v>169.08429644999998</v>
      </c>
      <c r="H111" s="11">
        <v>169.08429644999998</v>
      </c>
      <c r="I111" s="11">
        <v>169.08429644999998</v>
      </c>
      <c r="J111" s="11">
        <v>169.08429644999998</v>
      </c>
      <c r="K111" s="11">
        <v>169.08429644999998</v>
      </c>
      <c r="L111" s="11">
        <v>169.08429644999998</v>
      </c>
      <c r="M111" s="11">
        <v>169.08429644999998</v>
      </c>
      <c r="N111" s="11">
        <v>169.08429644999998</v>
      </c>
      <c r="O111" s="11">
        <v>169.08429644999998</v>
      </c>
      <c r="P111" s="11">
        <v>169.08429644999998</v>
      </c>
      <c r="Q111" s="11">
        <v>169.08429644999998</v>
      </c>
      <c r="R111" s="11">
        <v>169.08429644999998</v>
      </c>
      <c r="S111" s="11">
        <v>169.08429644999998</v>
      </c>
      <c r="T111" s="11">
        <v>169.08429644999998</v>
      </c>
      <c r="U111" s="11">
        <v>169.08429644999998</v>
      </c>
      <c r="V111" s="11">
        <v>169.08429644999998</v>
      </c>
      <c r="W111" s="11">
        <v>169.08429644999998</v>
      </c>
      <c r="X111" s="11">
        <v>169.08429644999998</v>
      </c>
      <c r="Y111" s="11">
        <v>169.08429644999998</v>
      </c>
      <c r="Z111" s="11">
        <v>169.08429644999998</v>
      </c>
      <c r="AA111" s="11">
        <v>169.08429644999998</v>
      </c>
      <c r="AB111" s="11">
        <v>169.08429644999998</v>
      </c>
      <c r="AC111" s="11">
        <v>169.08429644999998</v>
      </c>
      <c r="AD111" s="11">
        <v>169.08429644999998</v>
      </c>
      <c r="AE111" s="11">
        <v>169.08429644999998</v>
      </c>
      <c r="AF111" s="11">
        <v>169.08429644999998</v>
      </c>
      <c r="AG111" s="11">
        <v>169.08429644999998</v>
      </c>
      <c r="AH111" s="11">
        <v>169.08429644999998</v>
      </c>
      <c r="AI111" s="11">
        <v>169.08429644999998</v>
      </c>
      <c r="AJ111" s="11">
        <v>169.08429644999998</v>
      </c>
    </row>
    <row r="112" spans="1:36" x14ac:dyDescent="0.25">
      <c r="A112" s="4" t="s">
        <v>405</v>
      </c>
      <c r="B112" s="174" t="s">
        <v>406</v>
      </c>
      <c r="D112" s="11">
        <v>3037.5</v>
      </c>
      <c r="E112" s="11">
        <v>3037.5</v>
      </c>
      <c r="F112" s="11">
        <v>3037.5</v>
      </c>
      <c r="G112" s="11">
        <v>3037.5</v>
      </c>
      <c r="H112" s="11">
        <v>3037.5</v>
      </c>
      <c r="I112" s="11">
        <v>3037.5</v>
      </c>
      <c r="J112" s="11">
        <v>3037.5</v>
      </c>
      <c r="K112" s="11">
        <v>3037.5</v>
      </c>
      <c r="L112" s="11">
        <v>3037.5</v>
      </c>
      <c r="M112" s="11">
        <v>3037.5</v>
      </c>
      <c r="N112" s="11">
        <v>3037.5</v>
      </c>
      <c r="O112" s="11">
        <v>3037.5</v>
      </c>
      <c r="P112" s="11">
        <v>3037.5</v>
      </c>
      <c r="Q112" s="11">
        <v>3037.5</v>
      </c>
      <c r="R112" s="11">
        <v>3037.5</v>
      </c>
      <c r="S112" s="11">
        <v>3037.5</v>
      </c>
      <c r="T112" s="11">
        <v>3037.5</v>
      </c>
      <c r="U112" s="11">
        <v>3037.5</v>
      </c>
      <c r="V112" s="11">
        <v>3037.5</v>
      </c>
      <c r="W112" s="11">
        <v>3037.5</v>
      </c>
      <c r="X112" s="11">
        <v>3037.5</v>
      </c>
      <c r="Y112" s="11">
        <v>3037.5</v>
      </c>
      <c r="Z112" s="11">
        <v>3037.5</v>
      </c>
      <c r="AA112" s="11">
        <v>3037.5</v>
      </c>
      <c r="AB112" s="11">
        <v>3037.5</v>
      </c>
      <c r="AC112" s="11">
        <v>3037.5</v>
      </c>
      <c r="AD112" s="11">
        <v>3037.5</v>
      </c>
      <c r="AE112" s="11">
        <v>3037.5</v>
      </c>
      <c r="AF112" s="11">
        <v>3037.5</v>
      </c>
      <c r="AG112" s="11">
        <v>3037.5</v>
      </c>
      <c r="AH112" s="11">
        <v>3037.5</v>
      </c>
      <c r="AI112" s="11">
        <v>3037.5</v>
      </c>
      <c r="AJ112" s="11">
        <v>3037.5</v>
      </c>
    </row>
    <row r="113" spans="1:36" ht="30" x14ac:dyDescent="0.25">
      <c r="A113" s="4" t="s">
        <v>407</v>
      </c>
      <c r="B113" s="174" t="s">
        <v>408</v>
      </c>
      <c r="D113" s="11">
        <v>3198.4875000000002</v>
      </c>
      <c r="E113" s="11">
        <v>3198.4875000000002</v>
      </c>
      <c r="F113" s="11">
        <v>3198.4875000000002</v>
      </c>
      <c r="G113" s="11">
        <v>3198.4875000000002</v>
      </c>
      <c r="H113" s="11">
        <v>3198.4875000000002</v>
      </c>
      <c r="I113" s="11">
        <v>3198.4875000000002</v>
      </c>
      <c r="J113" s="11">
        <v>3198.4875000000002</v>
      </c>
      <c r="K113" s="11">
        <v>3198.4875000000002</v>
      </c>
      <c r="L113" s="11">
        <v>3198.4875000000002</v>
      </c>
      <c r="M113" s="11">
        <v>3198.4875000000002</v>
      </c>
      <c r="N113" s="11">
        <v>3198.4875000000002</v>
      </c>
      <c r="O113" s="11">
        <v>3198.4875000000002</v>
      </c>
      <c r="P113" s="11">
        <v>3198.4875000000002</v>
      </c>
      <c r="Q113" s="11">
        <v>3198.4875000000002</v>
      </c>
      <c r="R113" s="11">
        <v>3198.4875000000002</v>
      </c>
      <c r="S113" s="11">
        <v>3198.4875000000002</v>
      </c>
      <c r="T113" s="11">
        <v>3198.4875000000002</v>
      </c>
      <c r="U113" s="11">
        <v>3198.4875000000002</v>
      </c>
      <c r="V113" s="11">
        <v>3198.4875000000002</v>
      </c>
      <c r="W113" s="11">
        <v>3198.4875000000002</v>
      </c>
      <c r="X113" s="11">
        <v>3198.4875000000002</v>
      </c>
      <c r="Y113" s="11">
        <v>3198.4875000000002</v>
      </c>
      <c r="Z113" s="11">
        <v>3198.4875000000002</v>
      </c>
      <c r="AA113" s="11">
        <v>3198.4875000000002</v>
      </c>
      <c r="AB113" s="11">
        <v>3198.4875000000002</v>
      </c>
      <c r="AC113" s="11">
        <v>3198.4875000000002</v>
      </c>
      <c r="AD113" s="11">
        <v>3198.4875000000002</v>
      </c>
      <c r="AE113" s="11">
        <v>3198.4875000000002</v>
      </c>
      <c r="AF113" s="11">
        <v>3198.4875000000002</v>
      </c>
      <c r="AG113" s="11">
        <v>3198.4875000000002</v>
      </c>
      <c r="AH113" s="11">
        <v>3198.4875000000002</v>
      </c>
      <c r="AI113" s="11">
        <v>3198.4875000000002</v>
      </c>
      <c r="AJ113" s="11">
        <v>3198.4875000000002</v>
      </c>
    </row>
    <row r="114" spans="1:36" ht="18" x14ac:dyDescent="0.35">
      <c r="A114" s="4" t="s">
        <v>409</v>
      </c>
      <c r="B114" s="174" t="s">
        <v>410</v>
      </c>
      <c r="D114" s="11">
        <v>60.75</v>
      </c>
      <c r="E114" s="11">
        <v>60.75</v>
      </c>
      <c r="F114" s="11">
        <v>60.75</v>
      </c>
      <c r="G114" s="11">
        <v>60.75</v>
      </c>
      <c r="H114" s="11">
        <v>60.75</v>
      </c>
      <c r="I114" s="11">
        <v>60.75</v>
      </c>
      <c r="J114" s="11">
        <v>60.75</v>
      </c>
      <c r="K114" s="11">
        <v>60.75</v>
      </c>
      <c r="L114" s="11">
        <v>60.75</v>
      </c>
      <c r="M114" s="11">
        <v>60.75</v>
      </c>
      <c r="N114" s="11">
        <v>60.75</v>
      </c>
      <c r="O114" s="11">
        <v>60.75</v>
      </c>
      <c r="P114" s="11">
        <v>60.75</v>
      </c>
      <c r="Q114" s="11">
        <v>60.75</v>
      </c>
      <c r="R114" s="11">
        <v>60.75</v>
      </c>
      <c r="S114" s="11">
        <v>60.75</v>
      </c>
      <c r="T114" s="11">
        <v>60.75</v>
      </c>
      <c r="U114" s="11">
        <v>60.75</v>
      </c>
      <c r="V114" s="11">
        <v>60.75</v>
      </c>
      <c r="W114" s="11">
        <v>60.75</v>
      </c>
      <c r="X114" s="11">
        <v>60.75</v>
      </c>
      <c r="Y114" s="11">
        <v>60.75</v>
      </c>
      <c r="Z114" s="11">
        <v>60.75</v>
      </c>
      <c r="AA114" s="11">
        <v>60.75</v>
      </c>
      <c r="AB114" s="11">
        <v>60.75</v>
      </c>
      <c r="AC114" s="11">
        <v>60.75</v>
      </c>
      <c r="AD114" s="11">
        <v>60.75</v>
      </c>
      <c r="AE114" s="11">
        <v>60.75</v>
      </c>
      <c r="AF114" s="11">
        <v>60.75</v>
      </c>
      <c r="AG114" s="11">
        <v>60.75</v>
      </c>
      <c r="AH114" s="11">
        <v>60.75</v>
      </c>
      <c r="AI114" s="11">
        <v>60.75</v>
      </c>
      <c r="AJ114" s="11">
        <v>60.75</v>
      </c>
    </row>
    <row r="115" spans="1:36" x14ac:dyDescent="0.25">
      <c r="A115" s="4" t="s">
        <v>411</v>
      </c>
      <c r="B115" s="174" t="s">
        <v>412</v>
      </c>
      <c r="D115" s="11">
        <v>6075</v>
      </c>
      <c r="E115" s="11">
        <v>6075</v>
      </c>
      <c r="F115" s="11">
        <v>6075</v>
      </c>
      <c r="G115" s="11">
        <v>6075</v>
      </c>
      <c r="H115" s="11">
        <v>6075</v>
      </c>
      <c r="I115" s="11">
        <v>6075</v>
      </c>
      <c r="J115" s="11">
        <v>6075</v>
      </c>
      <c r="K115" s="11">
        <v>6075</v>
      </c>
      <c r="L115" s="11">
        <v>6075</v>
      </c>
      <c r="M115" s="11">
        <v>6075</v>
      </c>
      <c r="N115" s="11">
        <v>6075</v>
      </c>
      <c r="O115" s="11">
        <v>6075</v>
      </c>
      <c r="P115" s="11">
        <v>6075</v>
      </c>
      <c r="Q115" s="11">
        <v>6075</v>
      </c>
      <c r="R115" s="11">
        <v>6075</v>
      </c>
      <c r="S115" s="11">
        <v>6075</v>
      </c>
      <c r="T115" s="11">
        <v>6075</v>
      </c>
      <c r="U115" s="11">
        <v>6075</v>
      </c>
      <c r="V115" s="11">
        <v>6075</v>
      </c>
      <c r="W115" s="11">
        <v>6075</v>
      </c>
      <c r="X115" s="11">
        <v>6075</v>
      </c>
      <c r="Y115" s="11">
        <v>6075</v>
      </c>
      <c r="Z115" s="11">
        <v>6075</v>
      </c>
      <c r="AA115" s="11">
        <v>6075</v>
      </c>
      <c r="AB115" s="11">
        <v>6075</v>
      </c>
      <c r="AC115" s="11">
        <v>6075</v>
      </c>
      <c r="AD115" s="11">
        <v>6075</v>
      </c>
      <c r="AE115" s="11">
        <v>6075</v>
      </c>
      <c r="AF115" s="11">
        <v>6075</v>
      </c>
      <c r="AG115" s="11">
        <v>6075</v>
      </c>
      <c r="AH115" s="11">
        <v>6075</v>
      </c>
      <c r="AI115" s="11">
        <v>6075</v>
      </c>
      <c r="AJ115" s="11">
        <v>6075</v>
      </c>
    </row>
    <row r="116" spans="1:36" ht="18" x14ac:dyDescent="0.35">
      <c r="A116" s="4" t="s">
        <v>413</v>
      </c>
      <c r="B116" s="174" t="s">
        <v>414</v>
      </c>
      <c r="D116" s="11">
        <v>2278.125</v>
      </c>
      <c r="E116" s="11">
        <v>2278.125</v>
      </c>
      <c r="F116" s="11">
        <v>2278.125</v>
      </c>
      <c r="G116" s="11">
        <v>2278.125</v>
      </c>
      <c r="H116" s="11">
        <v>2278.125</v>
      </c>
      <c r="I116" s="11">
        <v>2278.125</v>
      </c>
      <c r="J116" s="11">
        <v>2278.125</v>
      </c>
      <c r="K116" s="11">
        <v>2278.125</v>
      </c>
      <c r="L116" s="11">
        <v>2278.125</v>
      </c>
      <c r="M116" s="11">
        <v>2278.125</v>
      </c>
      <c r="N116" s="11">
        <v>2278.125</v>
      </c>
      <c r="O116" s="11">
        <v>2278.125</v>
      </c>
      <c r="P116" s="11">
        <v>2278.125</v>
      </c>
      <c r="Q116" s="11">
        <v>2278.125</v>
      </c>
      <c r="R116" s="11">
        <v>2278.125</v>
      </c>
      <c r="S116" s="11">
        <v>2278.125</v>
      </c>
      <c r="T116" s="11">
        <v>2278.125</v>
      </c>
      <c r="U116" s="11">
        <v>2278.125</v>
      </c>
      <c r="V116" s="11">
        <v>2278.125</v>
      </c>
      <c r="W116" s="11">
        <v>2278.125</v>
      </c>
      <c r="X116" s="11">
        <v>2278.125</v>
      </c>
      <c r="Y116" s="11">
        <v>2278.125</v>
      </c>
      <c r="Z116" s="11">
        <v>2278.125</v>
      </c>
      <c r="AA116" s="11">
        <v>2278.125</v>
      </c>
      <c r="AB116" s="11">
        <v>2278.125</v>
      </c>
      <c r="AC116" s="11">
        <v>2278.125</v>
      </c>
      <c r="AD116" s="11">
        <v>2278.125</v>
      </c>
      <c r="AE116" s="11">
        <v>2278.125</v>
      </c>
      <c r="AF116" s="11">
        <v>2278.125</v>
      </c>
      <c r="AG116" s="11">
        <v>2278.125</v>
      </c>
      <c r="AH116" s="11">
        <v>2278.125</v>
      </c>
      <c r="AI116" s="11">
        <v>2278.125</v>
      </c>
      <c r="AJ116" s="11">
        <v>2278.125</v>
      </c>
    </row>
    <row r="117" spans="1:36" ht="18" x14ac:dyDescent="0.35">
      <c r="A117" s="4" t="s">
        <v>415</v>
      </c>
      <c r="B117" s="174" t="s">
        <v>416</v>
      </c>
      <c r="D117" s="11">
        <v>1877175</v>
      </c>
      <c r="E117" s="11">
        <v>1877175</v>
      </c>
      <c r="F117" s="11">
        <v>1877175</v>
      </c>
      <c r="G117" s="11">
        <v>1877175</v>
      </c>
      <c r="H117" s="11">
        <v>1877175</v>
      </c>
      <c r="I117" s="11">
        <v>1877175</v>
      </c>
      <c r="J117" s="11">
        <v>1877175</v>
      </c>
      <c r="K117" s="11">
        <v>1877175</v>
      </c>
      <c r="L117" s="11">
        <v>1877175</v>
      </c>
      <c r="M117" s="11">
        <v>1877175</v>
      </c>
      <c r="N117" s="11">
        <v>1877175</v>
      </c>
      <c r="O117" s="11">
        <v>1877175</v>
      </c>
      <c r="P117" s="11">
        <v>1877175</v>
      </c>
      <c r="Q117" s="11">
        <v>1877175</v>
      </c>
      <c r="R117" s="11">
        <v>1877175</v>
      </c>
      <c r="S117" s="11">
        <v>1877175</v>
      </c>
      <c r="T117" s="11">
        <v>1877175</v>
      </c>
      <c r="U117" s="11">
        <v>1877175</v>
      </c>
      <c r="V117" s="11">
        <v>1877175</v>
      </c>
      <c r="W117" s="11">
        <v>1877175</v>
      </c>
      <c r="X117" s="11">
        <v>1877175</v>
      </c>
      <c r="Y117" s="11">
        <v>1877175</v>
      </c>
      <c r="Z117" s="11">
        <v>1877175</v>
      </c>
      <c r="AA117" s="11">
        <v>1877175</v>
      </c>
      <c r="AB117" s="11">
        <v>1877175</v>
      </c>
      <c r="AC117" s="11">
        <v>1877175</v>
      </c>
      <c r="AD117" s="11">
        <v>1877175</v>
      </c>
      <c r="AE117" s="11">
        <v>1877175</v>
      </c>
      <c r="AF117" s="11">
        <v>1877175</v>
      </c>
      <c r="AG117" s="11">
        <v>1877175</v>
      </c>
      <c r="AH117" s="11">
        <v>1877175</v>
      </c>
      <c r="AI117" s="11">
        <v>1877175</v>
      </c>
      <c r="AJ117" s="11">
        <v>1877175</v>
      </c>
    </row>
    <row r="118" spans="1:36" ht="18" x14ac:dyDescent="0.35">
      <c r="A118" s="4" t="s">
        <v>417</v>
      </c>
      <c r="B118" s="174" t="s">
        <v>418</v>
      </c>
      <c r="D118" s="11">
        <v>17815.484249999998</v>
      </c>
      <c r="E118" s="11">
        <v>17815.484249999998</v>
      </c>
      <c r="F118" s="11">
        <v>17815.484249999998</v>
      </c>
      <c r="G118" s="11">
        <v>17815.484249999998</v>
      </c>
      <c r="H118" s="11">
        <v>17815.484249999998</v>
      </c>
      <c r="I118" s="11">
        <v>17815.484249999998</v>
      </c>
      <c r="J118" s="11">
        <v>17815.484249999998</v>
      </c>
      <c r="K118" s="11">
        <v>17815.484249999998</v>
      </c>
      <c r="L118" s="11">
        <v>17815.484249999998</v>
      </c>
      <c r="M118" s="11">
        <v>17815.484249999998</v>
      </c>
      <c r="N118" s="11">
        <v>17815.484249999998</v>
      </c>
      <c r="O118" s="11">
        <v>17815.484249999998</v>
      </c>
      <c r="P118" s="11">
        <v>17815.484249999998</v>
      </c>
      <c r="Q118" s="11">
        <v>17815.484249999998</v>
      </c>
      <c r="R118" s="11">
        <v>17815.484249999998</v>
      </c>
      <c r="S118" s="11">
        <v>17815.484249999998</v>
      </c>
      <c r="T118" s="11">
        <v>17815.484249999998</v>
      </c>
      <c r="U118" s="11">
        <v>17815.484249999998</v>
      </c>
      <c r="V118" s="11">
        <v>17815.484249999998</v>
      </c>
      <c r="W118" s="11">
        <v>17815.484249999998</v>
      </c>
      <c r="X118" s="11">
        <v>17815.484249999998</v>
      </c>
      <c r="Y118" s="11">
        <v>17815.484249999998</v>
      </c>
      <c r="Z118" s="11">
        <v>17815.484249999998</v>
      </c>
      <c r="AA118" s="11">
        <v>17815.484249999998</v>
      </c>
      <c r="AB118" s="11">
        <v>17815.484249999998</v>
      </c>
      <c r="AC118" s="11">
        <v>17815.484249999998</v>
      </c>
      <c r="AD118" s="11">
        <v>17815.484249999998</v>
      </c>
      <c r="AE118" s="11">
        <v>17815.484249999998</v>
      </c>
      <c r="AF118" s="11">
        <v>17815.484249999998</v>
      </c>
      <c r="AG118" s="11">
        <v>17815.484249999998</v>
      </c>
      <c r="AH118" s="11">
        <v>17815.484249999998</v>
      </c>
      <c r="AI118" s="11">
        <v>17815.484249999998</v>
      </c>
      <c r="AJ118" s="11">
        <v>17815.484249999998</v>
      </c>
    </row>
    <row r="119" spans="1:36" x14ac:dyDescent="0.25">
      <c r="D119" s="11"/>
      <c r="E119" s="11"/>
      <c r="F119" s="11"/>
      <c r="G119" s="11"/>
      <c r="H119" s="11"/>
      <c r="I119" s="11"/>
      <c r="J119" s="11"/>
      <c r="K119" s="11"/>
      <c r="L119" s="11"/>
      <c r="M119" s="11"/>
      <c r="N119" s="11"/>
      <c r="O119" s="11"/>
      <c r="P119" s="11"/>
      <c r="Q119" s="11"/>
      <c r="R119" s="11"/>
      <c r="S119" s="11"/>
      <c r="T119" s="11"/>
      <c r="U119" s="11"/>
      <c r="V119" s="11"/>
      <c r="W119" s="11"/>
      <c r="X119" s="11"/>
    </row>
    <row r="120" spans="1:36" x14ac:dyDescent="0.25">
      <c r="A120" s="182" t="s">
        <v>425</v>
      </c>
      <c r="B120" s="183"/>
      <c r="C120" s="183"/>
      <c r="D120" s="184"/>
      <c r="E120" s="184"/>
      <c r="F120" s="184"/>
      <c r="G120" s="184"/>
      <c r="H120" s="184"/>
      <c r="I120" s="184"/>
      <c r="J120" s="184"/>
      <c r="K120" s="184"/>
      <c r="L120" s="184"/>
      <c r="M120" s="184"/>
      <c r="N120" s="184"/>
      <c r="O120" s="184"/>
      <c r="P120" s="184"/>
      <c r="Q120" s="184"/>
      <c r="R120" s="184"/>
      <c r="S120" s="184"/>
      <c r="T120" s="184"/>
      <c r="U120" s="184"/>
      <c r="V120" s="184"/>
      <c r="W120" s="184"/>
      <c r="X120" s="184"/>
      <c r="Y120" s="184"/>
      <c r="Z120" s="184"/>
      <c r="AA120" s="184"/>
      <c r="AB120" s="184"/>
      <c r="AC120" s="184"/>
      <c r="AD120" s="184"/>
      <c r="AE120" s="184"/>
      <c r="AF120" s="184"/>
      <c r="AG120" s="184"/>
      <c r="AH120" s="184"/>
      <c r="AI120" s="184"/>
      <c r="AJ120" s="184"/>
    </row>
    <row r="121" spans="1:36" x14ac:dyDescent="0.25">
      <c r="A121" s="4" t="s">
        <v>396</v>
      </c>
      <c r="B121" s="174" t="s">
        <v>91</v>
      </c>
      <c r="D121" s="11">
        <v>355500</v>
      </c>
      <c r="E121" s="11">
        <v>346680.00000000006</v>
      </c>
      <c r="F121" s="11">
        <v>336600</v>
      </c>
      <c r="G121" s="11">
        <v>325260</v>
      </c>
      <c r="H121" s="11">
        <v>313920</v>
      </c>
      <c r="I121" s="11">
        <v>302580.00000000006</v>
      </c>
      <c r="J121" s="11">
        <v>300060.00000000006</v>
      </c>
      <c r="K121" s="11">
        <v>300060.00000000006</v>
      </c>
      <c r="L121" s="11">
        <v>300060.00000000006</v>
      </c>
      <c r="M121" s="11">
        <v>300060.00000000006</v>
      </c>
      <c r="N121" s="11">
        <v>300060.00000000006</v>
      </c>
      <c r="O121" s="11">
        <v>300060.00000000006</v>
      </c>
      <c r="P121" s="11">
        <v>300060.00000000006</v>
      </c>
      <c r="Q121" s="11">
        <v>300060.00000000006</v>
      </c>
      <c r="R121" s="11">
        <v>300060.00000000006</v>
      </c>
      <c r="S121" s="11">
        <v>300060.00000000006</v>
      </c>
      <c r="T121" s="11">
        <v>300060.00000000006</v>
      </c>
      <c r="U121" s="11">
        <v>300060.00000000006</v>
      </c>
      <c r="V121" s="11">
        <v>300060.00000000006</v>
      </c>
      <c r="W121" s="11">
        <v>300060.00000000006</v>
      </c>
      <c r="X121" s="11">
        <v>300060.00000000006</v>
      </c>
      <c r="Y121" s="11">
        <v>300060.00000000006</v>
      </c>
      <c r="Z121" s="11">
        <v>300060.00000000006</v>
      </c>
      <c r="AA121" s="11">
        <v>300060.00000000006</v>
      </c>
      <c r="AB121" s="11">
        <v>300060.00000000006</v>
      </c>
      <c r="AC121" s="11">
        <v>300060.00000000006</v>
      </c>
      <c r="AD121" s="11">
        <v>300060.00000000006</v>
      </c>
      <c r="AE121" s="11">
        <v>300060.00000000006</v>
      </c>
      <c r="AF121" s="11">
        <v>300060.00000000006</v>
      </c>
      <c r="AG121" s="11">
        <v>300060.00000000006</v>
      </c>
      <c r="AH121" s="11">
        <v>300060.00000000006</v>
      </c>
      <c r="AI121" s="11">
        <v>300060.00000000006</v>
      </c>
      <c r="AJ121" s="11">
        <v>300060.00000000006</v>
      </c>
    </row>
    <row r="122" spans="1:36" ht="18" x14ac:dyDescent="0.35">
      <c r="A122" s="4" t="s">
        <v>397</v>
      </c>
      <c r="B122" s="174" t="s">
        <v>398</v>
      </c>
      <c r="D122" s="11">
        <v>35849.864249999999</v>
      </c>
      <c r="E122" s="11">
        <v>34960.424580000006</v>
      </c>
      <c r="F122" s="11">
        <v>33943.922100000003</v>
      </c>
      <c r="G122" s="11">
        <v>32800.356809999997</v>
      </c>
      <c r="H122" s="11">
        <v>31656.791520000002</v>
      </c>
      <c r="I122" s="11">
        <v>30513.226230000007</v>
      </c>
      <c r="J122" s="11">
        <v>30259.100610000005</v>
      </c>
      <c r="K122" s="11">
        <v>30259.100610000005</v>
      </c>
      <c r="L122" s="11">
        <v>30259.100610000005</v>
      </c>
      <c r="M122" s="11">
        <v>30259.100610000005</v>
      </c>
      <c r="N122" s="11">
        <v>30259.100610000005</v>
      </c>
      <c r="O122" s="11">
        <v>30259.100610000005</v>
      </c>
      <c r="P122" s="11">
        <v>30259.100610000005</v>
      </c>
      <c r="Q122" s="11">
        <v>30259.100610000005</v>
      </c>
      <c r="R122" s="11">
        <v>30259.100610000005</v>
      </c>
      <c r="S122" s="11">
        <v>30259.100610000005</v>
      </c>
      <c r="T122" s="11">
        <v>30259.100610000005</v>
      </c>
      <c r="U122" s="11">
        <v>30259.100610000005</v>
      </c>
      <c r="V122" s="11">
        <v>30259.100610000005</v>
      </c>
      <c r="W122" s="11">
        <v>30259.100610000005</v>
      </c>
      <c r="X122" s="11">
        <v>30259.100610000005</v>
      </c>
      <c r="Y122" s="11">
        <v>30259.100610000005</v>
      </c>
      <c r="Z122" s="11">
        <v>30259.100610000005</v>
      </c>
      <c r="AA122" s="11">
        <v>30259.100610000005</v>
      </c>
      <c r="AB122" s="11">
        <v>30259.100610000005</v>
      </c>
      <c r="AC122" s="11">
        <v>30259.100610000005</v>
      </c>
      <c r="AD122" s="11">
        <v>30259.100610000005</v>
      </c>
      <c r="AE122" s="11">
        <v>30259.100610000005</v>
      </c>
      <c r="AF122" s="11">
        <v>30259.100610000005</v>
      </c>
      <c r="AG122" s="11">
        <v>30259.100610000005</v>
      </c>
      <c r="AH122" s="11">
        <v>30259.100610000005</v>
      </c>
      <c r="AI122" s="11">
        <v>30259.100610000005</v>
      </c>
      <c r="AJ122" s="11">
        <v>30259.100610000005</v>
      </c>
    </row>
    <row r="123" spans="1:36" ht="18" x14ac:dyDescent="0.35">
      <c r="A123" s="4" t="s">
        <v>399</v>
      </c>
      <c r="B123" s="174" t="s">
        <v>400</v>
      </c>
      <c r="D123" s="11">
        <v>0</v>
      </c>
      <c r="E123" s="11">
        <v>0</v>
      </c>
      <c r="F123" s="11">
        <v>0</v>
      </c>
      <c r="G123" s="11">
        <v>0</v>
      </c>
      <c r="H123" s="11">
        <v>0</v>
      </c>
      <c r="I123" s="11">
        <v>0</v>
      </c>
      <c r="J123" s="11">
        <v>0</v>
      </c>
      <c r="K123" s="11">
        <v>0</v>
      </c>
      <c r="L123" s="11">
        <v>0</v>
      </c>
      <c r="M123" s="11">
        <v>0</v>
      </c>
      <c r="N123" s="11">
        <v>0</v>
      </c>
      <c r="O123" s="11">
        <v>0</v>
      </c>
      <c r="P123" s="11">
        <v>0</v>
      </c>
      <c r="Q123" s="11">
        <v>0</v>
      </c>
      <c r="R123" s="11">
        <v>0</v>
      </c>
      <c r="S123" s="11">
        <v>0</v>
      </c>
      <c r="T123" s="11">
        <v>0</v>
      </c>
      <c r="U123" s="11">
        <v>0</v>
      </c>
      <c r="V123" s="11">
        <v>0</v>
      </c>
      <c r="W123" s="11">
        <v>0</v>
      </c>
      <c r="X123" s="11">
        <v>0</v>
      </c>
      <c r="Y123" s="11">
        <v>0</v>
      </c>
      <c r="Z123" s="11">
        <v>0</v>
      </c>
      <c r="AA123" s="11">
        <v>0</v>
      </c>
      <c r="AB123" s="11">
        <v>0</v>
      </c>
      <c r="AC123" s="11">
        <v>0</v>
      </c>
      <c r="AD123" s="11">
        <v>0</v>
      </c>
      <c r="AE123" s="11">
        <v>0</v>
      </c>
      <c r="AF123" s="11">
        <v>0</v>
      </c>
      <c r="AG123" s="11">
        <v>0</v>
      </c>
      <c r="AH123" s="11">
        <v>0</v>
      </c>
      <c r="AI123" s="11">
        <v>0</v>
      </c>
      <c r="AJ123" s="11">
        <v>0</v>
      </c>
    </row>
    <row r="124" spans="1:36" ht="18" x14ac:dyDescent="0.35">
      <c r="A124" s="4" t="s">
        <v>397</v>
      </c>
      <c r="B124" s="174" t="s">
        <v>401</v>
      </c>
      <c r="D124" s="11">
        <v>32981.875110000001</v>
      </c>
      <c r="E124" s="11">
        <v>32163.590613600005</v>
      </c>
      <c r="F124" s="11">
        <v>31228.408331999999</v>
      </c>
      <c r="G124" s="11">
        <v>30176.328265200002</v>
      </c>
      <c r="H124" s="11">
        <v>29124.248198400001</v>
      </c>
      <c r="I124" s="11">
        <v>28072.168131600007</v>
      </c>
      <c r="J124" s="11">
        <v>27838.372561200005</v>
      </c>
      <c r="K124" s="11">
        <v>27838.372561200005</v>
      </c>
      <c r="L124" s="11">
        <v>27838.372561200005</v>
      </c>
      <c r="M124" s="11">
        <v>27838.372561200005</v>
      </c>
      <c r="N124" s="11">
        <v>27838.372561200005</v>
      </c>
      <c r="O124" s="11">
        <v>27838.372561200005</v>
      </c>
      <c r="P124" s="11">
        <v>27838.372561200005</v>
      </c>
      <c r="Q124" s="11">
        <v>27838.372561200005</v>
      </c>
      <c r="R124" s="11">
        <v>27838.372561200005</v>
      </c>
      <c r="S124" s="11">
        <v>27838.372561200005</v>
      </c>
      <c r="T124" s="11">
        <v>27838.372561200005</v>
      </c>
      <c r="U124" s="11">
        <v>27838.372561200005</v>
      </c>
      <c r="V124" s="11">
        <v>27838.372561200005</v>
      </c>
      <c r="W124" s="11">
        <v>27838.372561200005</v>
      </c>
      <c r="X124" s="11">
        <v>27838.372561200005</v>
      </c>
      <c r="Y124" s="11">
        <v>27838.372561200005</v>
      </c>
      <c r="Z124" s="11">
        <v>27838.372561200005</v>
      </c>
      <c r="AA124" s="11">
        <v>27838.372561200005</v>
      </c>
      <c r="AB124" s="11">
        <v>27838.372561200005</v>
      </c>
      <c r="AC124" s="11">
        <v>27838.372561200005</v>
      </c>
      <c r="AD124" s="11">
        <v>27838.372561200005</v>
      </c>
      <c r="AE124" s="11">
        <v>27838.372561200005</v>
      </c>
      <c r="AF124" s="11">
        <v>27838.372561200005</v>
      </c>
      <c r="AG124" s="11">
        <v>27838.372561200005</v>
      </c>
      <c r="AH124" s="11">
        <v>27838.372561200005</v>
      </c>
      <c r="AI124" s="11">
        <v>27838.372561200005</v>
      </c>
      <c r="AJ124" s="11">
        <v>27838.372561200005</v>
      </c>
    </row>
    <row r="125" spans="1:36" ht="18" x14ac:dyDescent="0.35">
      <c r="A125" s="4" t="s">
        <v>399</v>
      </c>
      <c r="B125" s="174" t="s">
        <v>402</v>
      </c>
      <c r="D125" s="11">
        <v>0</v>
      </c>
      <c r="E125" s="11">
        <v>0</v>
      </c>
      <c r="F125" s="11">
        <v>0</v>
      </c>
      <c r="G125" s="11">
        <v>0</v>
      </c>
      <c r="H125" s="11">
        <v>0</v>
      </c>
      <c r="I125" s="11">
        <v>0</v>
      </c>
      <c r="J125" s="11">
        <v>0</v>
      </c>
      <c r="K125" s="11">
        <v>0</v>
      </c>
      <c r="L125" s="11">
        <v>0</v>
      </c>
      <c r="M125" s="11">
        <v>0</v>
      </c>
      <c r="N125" s="11">
        <v>0</v>
      </c>
      <c r="O125" s="11">
        <v>0</v>
      </c>
      <c r="P125" s="11">
        <v>0</v>
      </c>
      <c r="Q125" s="11">
        <v>0</v>
      </c>
      <c r="R125" s="11">
        <v>0</v>
      </c>
      <c r="S125" s="11">
        <v>0</v>
      </c>
      <c r="T125" s="11">
        <v>0</v>
      </c>
      <c r="U125" s="11">
        <v>0</v>
      </c>
      <c r="V125" s="11">
        <v>0</v>
      </c>
      <c r="W125" s="11">
        <v>0</v>
      </c>
      <c r="X125" s="11">
        <v>0</v>
      </c>
      <c r="Y125" s="11">
        <v>0</v>
      </c>
      <c r="Z125" s="11">
        <v>0</v>
      </c>
      <c r="AA125" s="11">
        <v>0</v>
      </c>
      <c r="AB125" s="11">
        <v>0</v>
      </c>
      <c r="AC125" s="11">
        <v>0</v>
      </c>
      <c r="AD125" s="11">
        <v>0</v>
      </c>
      <c r="AE125" s="11">
        <v>0</v>
      </c>
      <c r="AF125" s="11">
        <v>0</v>
      </c>
      <c r="AG125" s="11">
        <v>0</v>
      </c>
      <c r="AH125" s="11">
        <v>0</v>
      </c>
      <c r="AI125" s="11">
        <v>0</v>
      </c>
      <c r="AJ125" s="11">
        <v>0</v>
      </c>
    </row>
    <row r="126" spans="1:36" x14ac:dyDescent="0.25">
      <c r="A126" s="4" t="s">
        <v>403</v>
      </c>
      <c r="B126" s="174" t="s">
        <v>404</v>
      </c>
      <c r="D126" s="11">
        <v>989.45625329999996</v>
      </c>
      <c r="E126" s="11">
        <v>964.90771840800005</v>
      </c>
      <c r="F126" s="11">
        <v>936.85224995999988</v>
      </c>
      <c r="G126" s="11">
        <v>905.2898479559999</v>
      </c>
      <c r="H126" s="11">
        <v>873.72744595199993</v>
      </c>
      <c r="I126" s="11">
        <v>842.16504394800006</v>
      </c>
      <c r="J126" s="11">
        <v>835.1511768360001</v>
      </c>
      <c r="K126" s="11">
        <v>835.1511768360001</v>
      </c>
      <c r="L126" s="11">
        <v>835.1511768360001</v>
      </c>
      <c r="M126" s="11">
        <v>835.1511768360001</v>
      </c>
      <c r="N126" s="11">
        <v>835.1511768360001</v>
      </c>
      <c r="O126" s="11">
        <v>835.1511768360001</v>
      </c>
      <c r="P126" s="11">
        <v>835.1511768360001</v>
      </c>
      <c r="Q126" s="11">
        <v>835.1511768360001</v>
      </c>
      <c r="R126" s="11">
        <v>835.1511768360001</v>
      </c>
      <c r="S126" s="11">
        <v>835.1511768360001</v>
      </c>
      <c r="T126" s="11">
        <v>835.1511768360001</v>
      </c>
      <c r="U126" s="11">
        <v>835.1511768360001</v>
      </c>
      <c r="V126" s="11">
        <v>835.1511768360001</v>
      </c>
      <c r="W126" s="11">
        <v>835.1511768360001</v>
      </c>
      <c r="X126" s="11">
        <v>835.1511768360001</v>
      </c>
      <c r="Y126" s="11">
        <v>835.1511768360001</v>
      </c>
      <c r="Z126" s="11">
        <v>835.1511768360001</v>
      </c>
      <c r="AA126" s="11">
        <v>835.1511768360001</v>
      </c>
      <c r="AB126" s="11">
        <v>835.1511768360001</v>
      </c>
      <c r="AC126" s="11">
        <v>835.1511768360001</v>
      </c>
      <c r="AD126" s="11">
        <v>835.1511768360001</v>
      </c>
      <c r="AE126" s="11">
        <v>835.1511768360001</v>
      </c>
      <c r="AF126" s="11">
        <v>835.1511768360001</v>
      </c>
      <c r="AG126" s="11">
        <v>835.1511768360001</v>
      </c>
      <c r="AH126" s="11">
        <v>835.1511768360001</v>
      </c>
      <c r="AI126" s="11">
        <v>835.1511768360001</v>
      </c>
      <c r="AJ126" s="11">
        <v>835.1511768360001</v>
      </c>
    </row>
    <row r="127" spans="1:36" x14ac:dyDescent="0.25">
      <c r="A127" s="4" t="s">
        <v>405</v>
      </c>
      <c r="B127" s="174" t="s">
        <v>406</v>
      </c>
      <c r="D127" s="11">
        <v>17775</v>
      </c>
      <c r="E127" s="11">
        <v>17334.000000000004</v>
      </c>
      <c r="F127" s="11">
        <v>16830</v>
      </c>
      <c r="G127" s="11">
        <v>16263</v>
      </c>
      <c r="H127" s="11">
        <v>15696</v>
      </c>
      <c r="I127" s="11">
        <v>15129.000000000004</v>
      </c>
      <c r="J127" s="11">
        <v>15003.000000000004</v>
      </c>
      <c r="K127" s="11">
        <v>15003.000000000004</v>
      </c>
      <c r="L127" s="11">
        <v>15003.000000000004</v>
      </c>
      <c r="M127" s="11">
        <v>15003.000000000004</v>
      </c>
      <c r="N127" s="11">
        <v>15003.000000000004</v>
      </c>
      <c r="O127" s="11">
        <v>15003.000000000004</v>
      </c>
      <c r="P127" s="11">
        <v>15003.000000000004</v>
      </c>
      <c r="Q127" s="11">
        <v>15003.000000000004</v>
      </c>
      <c r="R127" s="11">
        <v>15003.000000000004</v>
      </c>
      <c r="S127" s="11">
        <v>15003.000000000004</v>
      </c>
      <c r="T127" s="11">
        <v>15003.000000000004</v>
      </c>
      <c r="U127" s="11">
        <v>15003.000000000004</v>
      </c>
      <c r="V127" s="11">
        <v>15003.000000000004</v>
      </c>
      <c r="W127" s="11">
        <v>15003.000000000004</v>
      </c>
      <c r="X127" s="11">
        <v>15003.000000000004</v>
      </c>
      <c r="Y127" s="11">
        <v>15003.000000000004</v>
      </c>
      <c r="Z127" s="11">
        <v>15003.000000000004</v>
      </c>
      <c r="AA127" s="11">
        <v>15003.000000000004</v>
      </c>
      <c r="AB127" s="11">
        <v>15003.000000000004</v>
      </c>
      <c r="AC127" s="11">
        <v>15003.000000000004</v>
      </c>
      <c r="AD127" s="11">
        <v>15003.000000000004</v>
      </c>
      <c r="AE127" s="11">
        <v>15003.000000000004</v>
      </c>
      <c r="AF127" s="11">
        <v>15003.000000000004</v>
      </c>
      <c r="AG127" s="11">
        <v>15003.000000000004</v>
      </c>
      <c r="AH127" s="11">
        <v>15003.000000000004</v>
      </c>
      <c r="AI127" s="11">
        <v>15003.000000000004</v>
      </c>
      <c r="AJ127" s="11">
        <v>15003.000000000004</v>
      </c>
    </row>
    <row r="128" spans="1:36" ht="30" x14ac:dyDescent="0.25">
      <c r="A128" s="4" t="s">
        <v>407</v>
      </c>
      <c r="B128" s="174" t="s">
        <v>408</v>
      </c>
      <c r="D128" s="11">
        <v>18717.075000000001</v>
      </c>
      <c r="E128" s="11">
        <v>18252.702000000005</v>
      </c>
      <c r="F128" s="11">
        <v>17721.990000000002</v>
      </c>
      <c r="G128" s="11">
        <v>17124.939000000002</v>
      </c>
      <c r="H128" s="11">
        <v>16527.887999999999</v>
      </c>
      <c r="I128" s="11">
        <v>15930.837000000003</v>
      </c>
      <c r="J128" s="11">
        <v>15798.159000000003</v>
      </c>
      <c r="K128" s="11">
        <v>15798.159000000003</v>
      </c>
      <c r="L128" s="11">
        <v>15798.159000000003</v>
      </c>
      <c r="M128" s="11">
        <v>15798.159000000003</v>
      </c>
      <c r="N128" s="11">
        <v>15798.159000000003</v>
      </c>
      <c r="O128" s="11">
        <v>15798.159000000003</v>
      </c>
      <c r="P128" s="11">
        <v>15798.159000000003</v>
      </c>
      <c r="Q128" s="11">
        <v>15798.159000000003</v>
      </c>
      <c r="R128" s="11">
        <v>15798.159000000003</v>
      </c>
      <c r="S128" s="11">
        <v>15798.159000000003</v>
      </c>
      <c r="T128" s="11">
        <v>15798.159000000003</v>
      </c>
      <c r="U128" s="11">
        <v>15798.159000000003</v>
      </c>
      <c r="V128" s="11">
        <v>15798.159000000003</v>
      </c>
      <c r="W128" s="11">
        <v>15798.159000000003</v>
      </c>
      <c r="X128" s="11">
        <v>15798.159000000003</v>
      </c>
      <c r="Y128" s="11">
        <v>15798.159000000003</v>
      </c>
      <c r="Z128" s="11">
        <v>15798.159000000003</v>
      </c>
      <c r="AA128" s="11">
        <v>15798.159000000003</v>
      </c>
      <c r="AB128" s="11">
        <v>15798.159000000003</v>
      </c>
      <c r="AC128" s="11">
        <v>15798.159000000003</v>
      </c>
      <c r="AD128" s="11">
        <v>15798.159000000003</v>
      </c>
      <c r="AE128" s="11">
        <v>15798.159000000003</v>
      </c>
      <c r="AF128" s="11">
        <v>15798.159000000003</v>
      </c>
      <c r="AG128" s="11">
        <v>15798.159000000003</v>
      </c>
      <c r="AH128" s="11">
        <v>15798.159000000003</v>
      </c>
      <c r="AI128" s="11">
        <v>15798.159000000003</v>
      </c>
      <c r="AJ128" s="11">
        <v>15798.159000000003</v>
      </c>
    </row>
    <row r="129" spans="1:36" ht="18" x14ac:dyDescent="0.35">
      <c r="A129" s="4" t="s">
        <v>409</v>
      </c>
      <c r="B129" s="174" t="s">
        <v>410</v>
      </c>
      <c r="D129" s="11">
        <v>355.5</v>
      </c>
      <c r="E129" s="11">
        <v>346.68000000000006</v>
      </c>
      <c r="F129" s="11">
        <v>336.6</v>
      </c>
      <c r="G129" s="11">
        <v>325.26</v>
      </c>
      <c r="H129" s="11">
        <v>313.92</v>
      </c>
      <c r="I129" s="11">
        <v>302.58000000000004</v>
      </c>
      <c r="J129" s="11">
        <v>300.06000000000006</v>
      </c>
      <c r="K129" s="11">
        <v>300.06000000000006</v>
      </c>
      <c r="L129" s="11">
        <v>300.06000000000006</v>
      </c>
      <c r="M129" s="11">
        <v>300.06000000000006</v>
      </c>
      <c r="N129" s="11">
        <v>300.06000000000006</v>
      </c>
      <c r="O129" s="11">
        <v>300.06000000000006</v>
      </c>
      <c r="P129" s="11">
        <v>300.06000000000006</v>
      </c>
      <c r="Q129" s="11">
        <v>300.06000000000006</v>
      </c>
      <c r="R129" s="11">
        <v>300.06000000000006</v>
      </c>
      <c r="S129" s="11">
        <v>300.06000000000006</v>
      </c>
      <c r="T129" s="11">
        <v>300.06000000000006</v>
      </c>
      <c r="U129" s="11">
        <v>300.06000000000006</v>
      </c>
      <c r="V129" s="11">
        <v>300.06000000000006</v>
      </c>
      <c r="W129" s="11">
        <v>300.06000000000006</v>
      </c>
      <c r="X129" s="11">
        <v>300.06000000000006</v>
      </c>
      <c r="Y129" s="11">
        <v>300.06000000000006</v>
      </c>
      <c r="Z129" s="11">
        <v>300.06000000000006</v>
      </c>
      <c r="AA129" s="11">
        <v>300.06000000000006</v>
      </c>
      <c r="AB129" s="11">
        <v>300.06000000000006</v>
      </c>
      <c r="AC129" s="11">
        <v>300.06000000000006</v>
      </c>
      <c r="AD129" s="11">
        <v>300.06000000000006</v>
      </c>
      <c r="AE129" s="11">
        <v>300.06000000000006</v>
      </c>
      <c r="AF129" s="11">
        <v>300.06000000000006</v>
      </c>
      <c r="AG129" s="11">
        <v>300.06000000000006</v>
      </c>
      <c r="AH129" s="11">
        <v>300.06000000000006</v>
      </c>
      <c r="AI129" s="11">
        <v>300.06000000000006</v>
      </c>
      <c r="AJ129" s="11">
        <v>300.06000000000006</v>
      </c>
    </row>
    <row r="130" spans="1:36" x14ac:dyDescent="0.25">
      <c r="A130" s="4" t="s">
        <v>411</v>
      </c>
      <c r="B130" s="174" t="s">
        <v>412</v>
      </c>
      <c r="D130" s="11">
        <v>35550</v>
      </c>
      <c r="E130" s="11">
        <v>34668.000000000007</v>
      </c>
      <c r="F130" s="11">
        <v>33660</v>
      </c>
      <c r="G130" s="11">
        <v>32526</v>
      </c>
      <c r="H130" s="11">
        <v>31392</v>
      </c>
      <c r="I130" s="11">
        <v>30258.000000000007</v>
      </c>
      <c r="J130" s="11">
        <v>30006.000000000007</v>
      </c>
      <c r="K130" s="11">
        <v>30006.000000000007</v>
      </c>
      <c r="L130" s="11">
        <v>30006.000000000007</v>
      </c>
      <c r="M130" s="11">
        <v>30006.000000000007</v>
      </c>
      <c r="N130" s="11">
        <v>30006.000000000007</v>
      </c>
      <c r="O130" s="11">
        <v>30006.000000000007</v>
      </c>
      <c r="P130" s="11">
        <v>30006.000000000007</v>
      </c>
      <c r="Q130" s="11">
        <v>30006.000000000007</v>
      </c>
      <c r="R130" s="11">
        <v>30006.000000000007</v>
      </c>
      <c r="S130" s="11">
        <v>30006.000000000007</v>
      </c>
      <c r="T130" s="11">
        <v>30006.000000000007</v>
      </c>
      <c r="U130" s="11">
        <v>30006.000000000007</v>
      </c>
      <c r="V130" s="11">
        <v>30006.000000000007</v>
      </c>
      <c r="W130" s="11">
        <v>30006.000000000007</v>
      </c>
      <c r="X130" s="11">
        <v>30006.000000000007</v>
      </c>
      <c r="Y130" s="11">
        <v>30006.000000000007</v>
      </c>
      <c r="Z130" s="11">
        <v>30006.000000000007</v>
      </c>
      <c r="AA130" s="11">
        <v>30006.000000000007</v>
      </c>
      <c r="AB130" s="11">
        <v>30006.000000000007</v>
      </c>
      <c r="AC130" s="11">
        <v>30006.000000000007</v>
      </c>
      <c r="AD130" s="11">
        <v>30006.000000000007</v>
      </c>
      <c r="AE130" s="11">
        <v>30006.000000000007</v>
      </c>
      <c r="AF130" s="11">
        <v>30006.000000000007</v>
      </c>
      <c r="AG130" s="11">
        <v>30006.000000000007</v>
      </c>
      <c r="AH130" s="11">
        <v>30006.000000000007</v>
      </c>
      <c r="AI130" s="11">
        <v>30006.000000000007</v>
      </c>
      <c r="AJ130" s="11">
        <v>30006.000000000007</v>
      </c>
    </row>
    <row r="131" spans="1:36" ht="18" x14ac:dyDescent="0.35">
      <c r="A131" s="4" t="s">
        <v>413</v>
      </c>
      <c r="B131" s="174" t="s">
        <v>414</v>
      </c>
      <c r="D131" s="11">
        <v>13331.25</v>
      </c>
      <c r="E131" s="11">
        <v>13000.500000000002</v>
      </c>
      <c r="F131" s="11">
        <v>12622.5</v>
      </c>
      <c r="G131" s="11">
        <v>12197.25</v>
      </c>
      <c r="H131" s="11">
        <v>11772</v>
      </c>
      <c r="I131" s="11">
        <v>11346.750000000002</v>
      </c>
      <c r="J131" s="11">
        <v>11252.250000000002</v>
      </c>
      <c r="K131" s="11">
        <v>11252.250000000002</v>
      </c>
      <c r="L131" s="11">
        <v>11252.250000000002</v>
      </c>
      <c r="M131" s="11">
        <v>11252.250000000002</v>
      </c>
      <c r="N131" s="11">
        <v>11252.250000000002</v>
      </c>
      <c r="O131" s="11">
        <v>11252.250000000002</v>
      </c>
      <c r="P131" s="11">
        <v>11252.250000000002</v>
      </c>
      <c r="Q131" s="11">
        <v>11252.250000000002</v>
      </c>
      <c r="R131" s="11">
        <v>11252.250000000002</v>
      </c>
      <c r="S131" s="11">
        <v>11252.250000000002</v>
      </c>
      <c r="T131" s="11">
        <v>11252.250000000002</v>
      </c>
      <c r="U131" s="11">
        <v>11252.250000000002</v>
      </c>
      <c r="V131" s="11">
        <v>11252.250000000002</v>
      </c>
      <c r="W131" s="11">
        <v>11252.250000000002</v>
      </c>
      <c r="X131" s="11">
        <v>11252.250000000002</v>
      </c>
      <c r="Y131" s="11">
        <v>11252.250000000002</v>
      </c>
      <c r="Z131" s="11">
        <v>11252.250000000002</v>
      </c>
      <c r="AA131" s="11">
        <v>11252.250000000002</v>
      </c>
      <c r="AB131" s="11">
        <v>11252.250000000002</v>
      </c>
      <c r="AC131" s="11">
        <v>11252.250000000002</v>
      </c>
      <c r="AD131" s="11">
        <v>11252.250000000002</v>
      </c>
      <c r="AE131" s="11">
        <v>11252.250000000002</v>
      </c>
      <c r="AF131" s="11">
        <v>11252.250000000002</v>
      </c>
      <c r="AG131" s="11">
        <v>11252.250000000002</v>
      </c>
      <c r="AH131" s="11">
        <v>11252.250000000002</v>
      </c>
      <c r="AI131" s="11">
        <v>11252.250000000002</v>
      </c>
      <c r="AJ131" s="11">
        <v>11252.250000000002</v>
      </c>
    </row>
    <row r="132" spans="1:36" ht="18" x14ac:dyDescent="0.35">
      <c r="A132" s="4" t="s">
        <v>415</v>
      </c>
      <c r="B132" s="174" t="s">
        <v>416</v>
      </c>
      <c r="D132" s="11">
        <v>10984950</v>
      </c>
      <c r="E132" s="11">
        <v>10712412.000000002</v>
      </c>
      <c r="F132" s="11">
        <v>10400940</v>
      </c>
      <c r="G132" s="11">
        <v>10050534</v>
      </c>
      <c r="H132" s="11">
        <v>9700128</v>
      </c>
      <c r="I132" s="11">
        <v>9349722.0000000019</v>
      </c>
      <c r="J132" s="11">
        <v>9271854.0000000019</v>
      </c>
      <c r="K132" s="11">
        <v>9271854.0000000019</v>
      </c>
      <c r="L132" s="11">
        <v>9271854.0000000019</v>
      </c>
      <c r="M132" s="11">
        <v>9271854.0000000019</v>
      </c>
      <c r="N132" s="11">
        <v>9271854.0000000019</v>
      </c>
      <c r="O132" s="11">
        <v>9271854.0000000019</v>
      </c>
      <c r="P132" s="11">
        <v>9271854.0000000019</v>
      </c>
      <c r="Q132" s="11">
        <v>9271854.0000000019</v>
      </c>
      <c r="R132" s="11">
        <v>9271854.0000000019</v>
      </c>
      <c r="S132" s="11">
        <v>9271854.0000000019</v>
      </c>
      <c r="T132" s="11">
        <v>9271854.0000000019</v>
      </c>
      <c r="U132" s="11">
        <v>9271854.0000000019</v>
      </c>
      <c r="V132" s="11">
        <v>9271854.0000000019</v>
      </c>
      <c r="W132" s="11">
        <v>9271854.0000000019</v>
      </c>
      <c r="X132" s="11">
        <v>9271854.0000000019</v>
      </c>
      <c r="Y132" s="11">
        <v>9271854.0000000019</v>
      </c>
      <c r="Z132" s="11">
        <v>9271854.0000000019</v>
      </c>
      <c r="AA132" s="11">
        <v>9271854.0000000019</v>
      </c>
      <c r="AB132" s="11">
        <v>9271854.0000000019</v>
      </c>
      <c r="AC132" s="11">
        <v>9271854.0000000019</v>
      </c>
      <c r="AD132" s="11">
        <v>9271854.0000000019</v>
      </c>
      <c r="AE132" s="11">
        <v>9271854.0000000019</v>
      </c>
      <c r="AF132" s="11">
        <v>9271854.0000000019</v>
      </c>
      <c r="AG132" s="11">
        <v>9271854.0000000019</v>
      </c>
      <c r="AH132" s="11">
        <v>9271854.0000000019</v>
      </c>
      <c r="AI132" s="11">
        <v>9271854.0000000019</v>
      </c>
      <c r="AJ132" s="11">
        <v>9271854.0000000019</v>
      </c>
    </row>
    <row r="133" spans="1:36" ht="18" x14ac:dyDescent="0.35">
      <c r="A133" s="4" t="s">
        <v>417</v>
      </c>
      <c r="B133" s="174" t="s">
        <v>418</v>
      </c>
      <c r="D133" s="11">
        <v>104253.5745</v>
      </c>
      <c r="E133" s="11">
        <v>101667.03012000001</v>
      </c>
      <c r="F133" s="11">
        <v>98710.979399999997</v>
      </c>
      <c r="G133" s="11">
        <v>95385.422340000005</v>
      </c>
      <c r="H133" s="11">
        <v>92059.865279999998</v>
      </c>
      <c r="I133" s="11">
        <v>88734.308220000021</v>
      </c>
      <c r="J133" s="11">
        <v>87995.295540000021</v>
      </c>
      <c r="K133" s="11">
        <v>87995.295540000021</v>
      </c>
      <c r="L133" s="11">
        <v>87995.295540000021</v>
      </c>
      <c r="M133" s="11">
        <v>87995.295540000021</v>
      </c>
      <c r="N133" s="11">
        <v>87995.295540000021</v>
      </c>
      <c r="O133" s="11">
        <v>87995.295540000021</v>
      </c>
      <c r="P133" s="11">
        <v>87995.295540000021</v>
      </c>
      <c r="Q133" s="11">
        <v>87995.295540000021</v>
      </c>
      <c r="R133" s="11">
        <v>87995.295540000021</v>
      </c>
      <c r="S133" s="11">
        <v>87995.295540000021</v>
      </c>
      <c r="T133" s="11">
        <v>87995.295540000021</v>
      </c>
      <c r="U133" s="11">
        <v>87995.295540000021</v>
      </c>
      <c r="V133" s="11">
        <v>87995.295540000021</v>
      </c>
      <c r="W133" s="11">
        <v>87995.295540000021</v>
      </c>
      <c r="X133" s="11">
        <v>87995.295540000021</v>
      </c>
      <c r="Y133" s="11">
        <v>87995.295540000021</v>
      </c>
      <c r="Z133" s="11">
        <v>87995.295540000021</v>
      </c>
      <c r="AA133" s="11">
        <v>87995.295540000021</v>
      </c>
      <c r="AB133" s="11">
        <v>87995.295540000021</v>
      </c>
      <c r="AC133" s="11">
        <v>87995.295540000021</v>
      </c>
      <c r="AD133" s="11">
        <v>87995.295540000021</v>
      </c>
      <c r="AE133" s="11">
        <v>87995.295540000021</v>
      </c>
      <c r="AF133" s="11">
        <v>87995.295540000021</v>
      </c>
      <c r="AG133" s="11">
        <v>87995.295540000021</v>
      </c>
      <c r="AH133" s="11">
        <v>87995.295540000021</v>
      </c>
      <c r="AI133" s="11">
        <v>87995.295540000021</v>
      </c>
      <c r="AJ133" s="11">
        <v>87995.295540000021</v>
      </c>
    </row>
  </sheetData>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9048BB-D1CE-4325-8204-A04F5C7EDEC1}">
  <sheetPr>
    <tabColor theme="0" tint="-0.499984740745262"/>
  </sheetPr>
  <dimension ref="A1"/>
  <sheetViews>
    <sheetView topLeftCell="A7" workbookViewId="0">
      <selection activeCell="I35" sqref="I35"/>
    </sheetView>
  </sheetViews>
  <sheetFormatPr defaultRowHeight="15" x14ac:dyDescent="0.25"/>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76F5D5-E2A2-4BEB-9CAA-14C7F0EE046D}">
  <sheetPr>
    <tabColor theme="7"/>
  </sheetPr>
  <dimension ref="A1:AT31"/>
  <sheetViews>
    <sheetView topLeftCell="B1" zoomScale="60" zoomScaleNormal="60" workbookViewId="0">
      <selection activeCell="J3" sqref="J3"/>
    </sheetView>
  </sheetViews>
  <sheetFormatPr defaultRowHeight="15" x14ac:dyDescent="0.25"/>
  <cols>
    <col min="1" max="1" width="41.7109375" bestFit="1" customWidth="1"/>
    <col min="2" max="2" width="27.42578125" bestFit="1" customWidth="1"/>
    <col min="3" max="5" width="21.5703125" customWidth="1"/>
    <col min="6" max="6" width="13.42578125" customWidth="1"/>
    <col min="7" max="7" width="12.28515625" customWidth="1"/>
    <col min="8" max="8" width="11.7109375" customWidth="1"/>
    <col min="9" max="9" width="12" customWidth="1"/>
    <col min="10" max="10" width="14" bestFit="1" customWidth="1"/>
    <col min="11" max="11" width="15.28515625" customWidth="1"/>
    <col min="12" max="12" width="16" customWidth="1"/>
    <col min="13" max="13" width="13.5703125" customWidth="1"/>
    <col min="14" max="39" width="13.7109375" bestFit="1" customWidth="1"/>
    <col min="40" max="40" width="13.7109375" customWidth="1"/>
    <col min="41" max="45" width="12.42578125" bestFit="1" customWidth="1"/>
  </cols>
  <sheetData>
    <row r="1" spans="1:46" x14ac:dyDescent="0.25">
      <c r="C1" s="22">
        <v>0.03</v>
      </c>
      <c r="D1" s="22">
        <v>7.0000000000000007E-2</v>
      </c>
      <c r="K1">
        <v>1</v>
      </c>
      <c r="L1">
        <f>K1+1</f>
        <v>2</v>
      </c>
      <c r="M1">
        <f t="shared" ref="M1:AN1" si="0">L1+1</f>
        <v>3</v>
      </c>
      <c r="N1">
        <f t="shared" si="0"/>
        <v>4</v>
      </c>
      <c r="O1">
        <f t="shared" si="0"/>
        <v>5</v>
      </c>
      <c r="P1">
        <f t="shared" si="0"/>
        <v>6</v>
      </c>
      <c r="Q1">
        <f t="shared" si="0"/>
        <v>7</v>
      </c>
      <c r="R1">
        <f t="shared" si="0"/>
        <v>8</v>
      </c>
      <c r="S1">
        <f t="shared" si="0"/>
        <v>9</v>
      </c>
      <c r="T1">
        <f t="shared" si="0"/>
        <v>10</v>
      </c>
      <c r="U1">
        <f t="shared" si="0"/>
        <v>11</v>
      </c>
      <c r="V1">
        <f t="shared" si="0"/>
        <v>12</v>
      </c>
      <c r="W1">
        <f t="shared" si="0"/>
        <v>13</v>
      </c>
      <c r="X1">
        <f t="shared" si="0"/>
        <v>14</v>
      </c>
      <c r="Y1">
        <f t="shared" si="0"/>
        <v>15</v>
      </c>
      <c r="Z1">
        <f t="shared" si="0"/>
        <v>16</v>
      </c>
      <c r="AA1">
        <f t="shared" si="0"/>
        <v>17</v>
      </c>
      <c r="AB1">
        <f t="shared" si="0"/>
        <v>18</v>
      </c>
      <c r="AC1">
        <f t="shared" si="0"/>
        <v>19</v>
      </c>
      <c r="AD1">
        <f t="shared" si="0"/>
        <v>20</v>
      </c>
      <c r="AE1">
        <f t="shared" si="0"/>
        <v>21</v>
      </c>
      <c r="AF1">
        <f t="shared" si="0"/>
        <v>22</v>
      </c>
      <c r="AG1">
        <f t="shared" si="0"/>
        <v>23</v>
      </c>
      <c r="AH1">
        <f t="shared" si="0"/>
        <v>24</v>
      </c>
      <c r="AI1">
        <f t="shared" si="0"/>
        <v>25</v>
      </c>
      <c r="AJ1">
        <f t="shared" si="0"/>
        <v>26</v>
      </c>
      <c r="AK1">
        <f t="shared" si="0"/>
        <v>27</v>
      </c>
      <c r="AL1">
        <f t="shared" si="0"/>
        <v>28</v>
      </c>
      <c r="AM1">
        <f t="shared" si="0"/>
        <v>29</v>
      </c>
      <c r="AN1">
        <f t="shared" si="0"/>
        <v>30</v>
      </c>
    </row>
    <row r="2" spans="1:46" x14ac:dyDescent="0.25">
      <c r="A2" s="8" t="s">
        <v>103</v>
      </c>
      <c r="B2" s="8" t="s">
        <v>104</v>
      </c>
      <c r="C2" s="8" t="s">
        <v>105</v>
      </c>
      <c r="D2" s="8" t="s">
        <v>106</v>
      </c>
      <c r="E2" s="8" t="s">
        <v>57</v>
      </c>
      <c r="F2" s="8" t="s">
        <v>107</v>
      </c>
      <c r="G2" s="8">
        <v>2022</v>
      </c>
      <c r="H2" s="8">
        <v>2023</v>
      </c>
      <c r="I2" s="8">
        <v>2024</v>
      </c>
      <c r="J2" s="8">
        <v>2025</v>
      </c>
      <c r="K2" s="8">
        <v>2026</v>
      </c>
      <c r="L2" s="8">
        <v>2027</v>
      </c>
      <c r="M2" s="8">
        <v>2028</v>
      </c>
      <c r="N2" s="8">
        <v>2029</v>
      </c>
      <c r="O2" s="8">
        <v>2030</v>
      </c>
      <c r="P2" s="8">
        <v>2031</v>
      </c>
      <c r="Q2" s="8">
        <v>2032</v>
      </c>
      <c r="R2" s="8">
        <v>2033</v>
      </c>
      <c r="S2" s="8">
        <v>2034</v>
      </c>
      <c r="T2" s="8">
        <v>2035</v>
      </c>
      <c r="U2" s="8">
        <v>2036</v>
      </c>
      <c r="V2" s="8">
        <v>2037</v>
      </c>
      <c r="W2" s="8">
        <v>2038</v>
      </c>
      <c r="X2" s="8">
        <v>2039</v>
      </c>
      <c r="Y2" s="8">
        <v>2040</v>
      </c>
      <c r="Z2" s="8">
        <v>2041</v>
      </c>
      <c r="AA2" s="8">
        <v>2042</v>
      </c>
      <c r="AB2" s="8">
        <v>2043</v>
      </c>
      <c r="AC2" s="8">
        <v>2044</v>
      </c>
      <c r="AD2" s="8">
        <v>2045</v>
      </c>
      <c r="AE2" s="8">
        <v>2046</v>
      </c>
      <c r="AF2" s="8">
        <v>2047</v>
      </c>
      <c r="AG2" s="8">
        <v>2048</v>
      </c>
      <c r="AH2" s="8">
        <v>2049</v>
      </c>
      <c r="AI2" s="8">
        <v>2050</v>
      </c>
      <c r="AJ2" s="8">
        <v>2051</v>
      </c>
      <c r="AK2" s="8">
        <v>2052</v>
      </c>
      <c r="AL2" s="8">
        <v>2053</v>
      </c>
      <c r="AM2" s="8">
        <v>2054</v>
      </c>
      <c r="AN2" s="8">
        <v>2055</v>
      </c>
      <c r="AO2" s="12"/>
      <c r="AP2" s="12"/>
      <c r="AQ2" s="12"/>
      <c r="AR2" s="12"/>
      <c r="AS2" s="12"/>
      <c r="AT2" s="12"/>
    </row>
    <row r="3" spans="1:46" x14ac:dyDescent="0.25">
      <c r="A3" t="s">
        <v>108</v>
      </c>
      <c r="B3" t="s">
        <v>109</v>
      </c>
      <c r="C3" s="50">
        <f t="shared" ref="C3:C9" si="1">NPV($C$1, G3:AN3)</f>
        <v>2678055.3791542337</v>
      </c>
      <c r="D3" s="50">
        <f>NPV($D$1, G3:AN3)</f>
        <v>1315572.2330450185</v>
      </c>
      <c r="E3" s="16">
        <f>SUM(G3:AN3)</f>
        <v>4930609.8111090763</v>
      </c>
      <c r="F3" s="16">
        <f>AVERAGE(J3:AN3)</f>
        <v>159051.92939061538</v>
      </c>
      <c r="G3" s="13">
        <f>'Traffic_Reduced highway VMT'!F56</f>
        <v>0</v>
      </c>
      <c r="H3" s="13">
        <f>'Traffic_Reduced highway VMT'!G56</f>
        <v>0</v>
      </c>
      <c r="I3" s="13">
        <f>'Traffic_Reduced highway VMT'!H56</f>
        <v>0</v>
      </c>
      <c r="J3" s="13">
        <f>'Traffic_Reduced highway VMT'!I56</f>
        <v>0</v>
      </c>
      <c r="K3" s="13">
        <f>'Traffic_Reduced highway VMT'!J56</f>
        <v>0</v>
      </c>
      <c r="L3" s="13">
        <f>'Traffic_Reduced highway VMT'!K56</f>
        <v>24014.950958146204</v>
      </c>
      <c r="M3" s="13">
        <f>'Traffic_Reduced highway VMT'!L56</f>
        <v>65085.800774852767</v>
      </c>
      <c r="N3" s="13">
        <f>'Traffic_Reduced highway VMT'!M56</f>
        <v>99326.18501955962</v>
      </c>
      <c r="O3" s="13">
        <f>'Traffic_Reduced highway VMT'!N56</f>
        <v>118562.26904373118</v>
      </c>
      <c r="P3" s="13">
        <f>'Traffic_Reduced highway VMT'!O56</f>
        <v>136453.80321517229</v>
      </c>
      <c r="Q3" s="13">
        <f>'Traffic_Reduced highway VMT'!P56</f>
        <v>171759.83797545763</v>
      </c>
      <c r="R3" s="13">
        <f>'Traffic_Reduced highway VMT'!Q56</f>
        <v>172952.42193194988</v>
      </c>
      <c r="S3" s="13">
        <f>'Traffic_Reduced highway VMT'!R56</f>
        <v>174145.00588844216</v>
      </c>
      <c r="T3" s="13">
        <f>'Traffic_Reduced highway VMT'!S56</f>
        <v>175337.58984493441</v>
      </c>
      <c r="U3" s="13">
        <f>'Traffic_Reduced highway VMT'!T56</f>
        <v>177722.75775791894</v>
      </c>
      <c r="V3" s="13">
        <f>'Traffic_Reduced highway VMT'!U56</f>
        <v>178915.34171441122</v>
      </c>
      <c r="W3" s="13">
        <f>'Traffic_Reduced highway VMT'!V56</f>
        <v>180107.92567090347</v>
      </c>
      <c r="X3" s="13">
        <f>'Traffic_Reduced highway VMT'!W56</f>
        <v>181300.50962739572</v>
      </c>
      <c r="Y3" s="13">
        <f>'Traffic_Reduced highway VMT'!X56</f>
        <v>182493.093583888</v>
      </c>
      <c r="Z3" s="13">
        <f>'Traffic_Reduced highway VMT'!Y56</f>
        <v>184878.26149687252</v>
      </c>
      <c r="AA3" s="13">
        <f>'Traffic_Reduced highway VMT'!Z56</f>
        <v>186070.84545336477</v>
      </c>
      <c r="AB3" s="13">
        <f>'Traffic_Reduced highway VMT'!AA56</f>
        <v>187263.42940985705</v>
      </c>
      <c r="AC3" s="13">
        <f>'Traffic_Reduced highway VMT'!AB56</f>
        <v>188456.0133663493</v>
      </c>
      <c r="AD3" s="13">
        <f>'Traffic_Reduced highway VMT'!AC56</f>
        <v>189648.59732284155</v>
      </c>
      <c r="AE3" s="13">
        <f>'Traffic_Reduced highway VMT'!AD56</f>
        <v>192033.76523582608</v>
      </c>
      <c r="AF3" s="13">
        <f>'Traffic_Reduced highway VMT'!AE56</f>
        <v>193226.34919231836</v>
      </c>
      <c r="AG3" s="13">
        <f>'Traffic_Reduced highway VMT'!AF56</f>
        <v>194418.93314881061</v>
      </c>
      <c r="AH3" s="13">
        <f>'Traffic_Reduced highway VMT'!AG56</f>
        <v>195611.51710530289</v>
      </c>
      <c r="AI3" s="13">
        <f>'Traffic_Reduced highway VMT'!AH56</f>
        <v>196804.10106179514</v>
      </c>
      <c r="AJ3" s="13">
        <f>'Traffic_Reduced highway VMT'!AI56</f>
        <v>196804.10106179514</v>
      </c>
      <c r="AK3" s="13">
        <f>'Traffic_Reduced highway VMT'!AJ56</f>
        <v>196804.10106179514</v>
      </c>
      <c r="AL3" s="13">
        <f>'Traffic_Reduced highway VMT'!AK56</f>
        <v>196804.10106179514</v>
      </c>
      <c r="AM3" s="13">
        <f>'Traffic_Reduced highway VMT'!AL56</f>
        <v>196804.10106179514</v>
      </c>
      <c r="AN3" s="13">
        <f>'Traffic_Reduced highway VMT'!AM56</f>
        <v>196804.10106179514</v>
      </c>
      <c r="AO3" s="13"/>
      <c r="AP3" s="13"/>
      <c r="AQ3" s="13"/>
      <c r="AR3" s="13"/>
      <c r="AS3" s="13"/>
      <c r="AT3" s="13"/>
    </row>
    <row r="4" spans="1:46" x14ac:dyDescent="0.25">
      <c r="A4" t="s">
        <v>110</v>
      </c>
      <c r="B4" t="s">
        <v>109</v>
      </c>
      <c r="C4" s="50">
        <f t="shared" si="1"/>
        <v>6594683.5640858626</v>
      </c>
      <c r="D4" s="50">
        <f t="shared" ref="D4:D9" si="2">NPV($D$1, G4:AN4)</f>
        <v>3291567.1602943884</v>
      </c>
      <c r="E4" s="16">
        <f>SUM(G4:AN4)</f>
        <v>11990002.076537222</v>
      </c>
      <c r="F4" s="16">
        <f t="shared" ref="F4:F9" si="3">AVERAGE(J4:AN4)</f>
        <v>386774.26053345879</v>
      </c>
      <c r="G4" s="13">
        <f>'Traffic_Reduced highway VMT'!F53</f>
        <v>0</v>
      </c>
      <c r="H4" s="13">
        <f>'Traffic_Reduced highway VMT'!G53</f>
        <v>0</v>
      </c>
      <c r="I4" s="13">
        <f>'Traffic_Reduced highway VMT'!H53</f>
        <v>0</v>
      </c>
      <c r="J4" s="13">
        <f>'Traffic_Reduced highway VMT'!I53</f>
        <v>0</v>
      </c>
      <c r="K4" s="13">
        <f>'Traffic_Reduced highway VMT'!J53</f>
        <v>0</v>
      </c>
      <c r="L4" s="13">
        <f>'Traffic_Reduced highway VMT'!K53</f>
        <v>67485.94039326768</v>
      </c>
      <c r="M4" s="13">
        <f>'Traffic_Reduced highway VMT'!L53</f>
        <v>179962.50771538049</v>
      </c>
      <c r="N4" s="13">
        <f>'Traffic_Reduced highway VMT'!M53</f>
        <v>269943.76157307072</v>
      </c>
      <c r="O4" s="13">
        <f>'Traffic_Reduced highway VMT'!N53</f>
        <v>314934.38850191585</v>
      </c>
      <c r="P4" s="13">
        <f>'Traffic_Reduced highway VMT'!O53</f>
        <v>359925.01543076098</v>
      </c>
      <c r="Q4" s="13">
        <f>'Traffic_Reduced highway VMT'!P53</f>
        <v>449906.26928845124</v>
      </c>
      <c r="R4" s="13">
        <f>'Traffic_Reduced highway VMT'!Q53</f>
        <v>449906.26928845124</v>
      </c>
      <c r="S4" s="13">
        <f>'Traffic_Reduced highway VMT'!R53</f>
        <v>449906.26928845124</v>
      </c>
      <c r="T4" s="13">
        <f>'Traffic_Reduced highway VMT'!S53</f>
        <v>449906.26928845124</v>
      </c>
      <c r="U4" s="13">
        <f>'Traffic_Reduced highway VMT'!T53</f>
        <v>449906.26928845124</v>
      </c>
      <c r="V4" s="13">
        <f>'Traffic_Reduced highway VMT'!U53</f>
        <v>449906.26928845124</v>
      </c>
      <c r="W4" s="13">
        <f>'Traffic_Reduced highway VMT'!V53</f>
        <v>449906.26928845124</v>
      </c>
      <c r="X4" s="13">
        <f>'Traffic_Reduced highway VMT'!W53</f>
        <v>449906.26928845124</v>
      </c>
      <c r="Y4" s="13">
        <f>'Traffic_Reduced highway VMT'!X53</f>
        <v>449906.26928845124</v>
      </c>
      <c r="Z4" s="13">
        <f>'Traffic_Reduced highway VMT'!Y53</f>
        <v>449906.26928845124</v>
      </c>
      <c r="AA4" s="13">
        <f>'Traffic_Reduced highway VMT'!Z53</f>
        <v>449906.26928845124</v>
      </c>
      <c r="AB4" s="13">
        <f>'Traffic_Reduced highway VMT'!AA53</f>
        <v>449906.26928845124</v>
      </c>
      <c r="AC4" s="13">
        <f>'Traffic_Reduced highway VMT'!AB53</f>
        <v>449906.26928845124</v>
      </c>
      <c r="AD4" s="13">
        <f>'Traffic_Reduced highway VMT'!AC53</f>
        <v>449906.26928845124</v>
      </c>
      <c r="AE4" s="13">
        <f>'Traffic_Reduced highway VMT'!AD53</f>
        <v>449906.26928845124</v>
      </c>
      <c r="AF4" s="13">
        <f>'Traffic_Reduced highway VMT'!AE53</f>
        <v>449906.26928845124</v>
      </c>
      <c r="AG4" s="13">
        <f>'Traffic_Reduced highway VMT'!AF53</f>
        <v>449906.26928845124</v>
      </c>
      <c r="AH4" s="13">
        <f>'Traffic_Reduced highway VMT'!AG53</f>
        <v>449906.26928845124</v>
      </c>
      <c r="AI4" s="13">
        <f>'Traffic_Reduced highway VMT'!AH53</f>
        <v>449906.26928845124</v>
      </c>
      <c r="AJ4" s="13">
        <f>'Traffic_Reduced highway VMT'!AI53</f>
        <v>449906.26928845124</v>
      </c>
      <c r="AK4" s="13">
        <f>'Traffic_Reduced highway VMT'!AJ53</f>
        <v>449906.26928845124</v>
      </c>
      <c r="AL4" s="13">
        <f>'Traffic_Reduced highway VMT'!AK53</f>
        <v>449906.26928845124</v>
      </c>
      <c r="AM4" s="13">
        <f>'Traffic_Reduced highway VMT'!AL53</f>
        <v>449906.26928845124</v>
      </c>
      <c r="AN4" s="13">
        <f>'Traffic_Reduced highway VMT'!AM53</f>
        <v>449906.26928845124</v>
      </c>
      <c r="AO4" s="13"/>
      <c r="AP4" s="13"/>
      <c r="AQ4" s="13"/>
      <c r="AR4" s="13"/>
      <c r="AS4" s="13"/>
      <c r="AT4" s="13"/>
    </row>
    <row r="5" spans="1:46" x14ac:dyDescent="0.25">
      <c r="A5" t="s">
        <v>111</v>
      </c>
      <c r="B5" t="s">
        <v>109</v>
      </c>
      <c r="C5" s="50">
        <f t="shared" si="1"/>
        <v>11427083.932431621</v>
      </c>
      <c r="D5" s="50">
        <f t="shared" si="2"/>
        <v>5703535.8625480002</v>
      </c>
      <c r="E5" s="16">
        <f>SUM(G5:AN5)</f>
        <v>20775941.521253623</v>
      </c>
      <c r="F5" s="16">
        <f t="shared" si="3"/>
        <v>670191.66197592334</v>
      </c>
      <c r="G5" s="13">
        <f>'Traffic_Reduced highway VMT'!F54</f>
        <v>0</v>
      </c>
      <c r="H5" s="13">
        <f>'Traffic_Reduced highway VMT'!G54</f>
        <v>0</v>
      </c>
      <c r="I5" s="13">
        <f>'Traffic_Reduced highway VMT'!H54</f>
        <v>0</v>
      </c>
      <c r="J5" s="13">
        <f>'Traffic_Reduced highway VMT'!I54</f>
        <v>0</v>
      </c>
      <c r="K5" s="13">
        <f>'Traffic_Reduced highway VMT'!J54</f>
        <v>0</v>
      </c>
      <c r="L5" s="13">
        <f>'Traffic_Reduced highway VMT'!K54</f>
        <v>116937.75715527368</v>
      </c>
      <c r="M5" s="13">
        <f>'Traffic_Reduced highway VMT'!L54</f>
        <v>311834.01908072981</v>
      </c>
      <c r="N5" s="13">
        <f>'Traffic_Reduced highway VMT'!M54</f>
        <v>467751.02862109471</v>
      </c>
      <c r="O5" s="13">
        <f>'Traffic_Reduced highway VMT'!N54</f>
        <v>545709.53339127719</v>
      </c>
      <c r="P5" s="13">
        <f>'Traffic_Reduced highway VMT'!O54</f>
        <v>623668.03816145961</v>
      </c>
      <c r="Q5" s="13">
        <f>'Traffic_Reduced highway VMT'!P54</f>
        <v>779585.04770182457</v>
      </c>
      <c r="R5" s="13">
        <f>'Traffic_Reduced highway VMT'!Q54</f>
        <v>779585.04770182457</v>
      </c>
      <c r="S5" s="13">
        <f>'Traffic_Reduced highway VMT'!R54</f>
        <v>779585.04770182457</v>
      </c>
      <c r="T5" s="13">
        <f>'Traffic_Reduced highway VMT'!S54</f>
        <v>779585.04770182457</v>
      </c>
      <c r="U5" s="13">
        <f>'Traffic_Reduced highway VMT'!T54</f>
        <v>779585.04770182457</v>
      </c>
      <c r="V5" s="13">
        <f>'Traffic_Reduced highway VMT'!U54</f>
        <v>779585.04770182457</v>
      </c>
      <c r="W5" s="13">
        <f>'Traffic_Reduced highway VMT'!V54</f>
        <v>779585.04770182457</v>
      </c>
      <c r="X5" s="13">
        <f>'Traffic_Reduced highway VMT'!W54</f>
        <v>779585.04770182457</v>
      </c>
      <c r="Y5" s="13">
        <f>'Traffic_Reduced highway VMT'!X54</f>
        <v>779585.04770182457</v>
      </c>
      <c r="Z5" s="13">
        <f>'Traffic_Reduced highway VMT'!Y54</f>
        <v>779585.04770182457</v>
      </c>
      <c r="AA5" s="13">
        <f>'Traffic_Reduced highway VMT'!Z54</f>
        <v>779585.04770182457</v>
      </c>
      <c r="AB5" s="13">
        <f>'Traffic_Reduced highway VMT'!AA54</f>
        <v>779585.04770182457</v>
      </c>
      <c r="AC5" s="13">
        <f>'Traffic_Reduced highway VMT'!AB54</f>
        <v>779585.04770182457</v>
      </c>
      <c r="AD5" s="13">
        <f>'Traffic_Reduced highway VMT'!AC54</f>
        <v>779585.04770182457</v>
      </c>
      <c r="AE5" s="13">
        <f>'Traffic_Reduced highway VMT'!AD54</f>
        <v>779585.04770182457</v>
      </c>
      <c r="AF5" s="13">
        <f>'Traffic_Reduced highway VMT'!AE54</f>
        <v>779585.04770182457</v>
      </c>
      <c r="AG5" s="13">
        <f>'Traffic_Reduced highway VMT'!AF54</f>
        <v>779585.04770182457</v>
      </c>
      <c r="AH5" s="13">
        <f>'Traffic_Reduced highway VMT'!AG54</f>
        <v>779585.04770182457</v>
      </c>
      <c r="AI5" s="13">
        <f>'Traffic_Reduced highway VMT'!AH54</f>
        <v>779585.04770182457</v>
      </c>
      <c r="AJ5" s="13">
        <f>'Traffic_Reduced highway VMT'!AI54</f>
        <v>779585.04770182457</v>
      </c>
      <c r="AK5" s="13">
        <f>'Traffic_Reduced highway VMT'!AJ54</f>
        <v>779585.04770182457</v>
      </c>
      <c r="AL5" s="13">
        <f>'Traffic_Reduced highway VMT'!AK54</f>
        <v>779585.04770182457</v>
      </c>
      <c r="AM5" s="13">
        <f>'Traffic_Reduced highway VMT'!AL54</f>
        <v>779585.04770182457</v>
      </c>
      <c r="AN5" s="13">
        <f>'Traffic_Reduced highway VMT'!AM54</f>
        <v>779585.04770182457</v>
      </c>
      <c r="AO5" s="13"/>
      <c r="AP5" s="13"/>
      <c r="AQ5" s="13"/>
      <c r="AR5" s="13"/>
      <c r="AS5" s="13"/>
      <c r="AT5" s="13"/>
    </row>
    <row r="6" spans="1:46" x14ac:dyDescent="0.25">
      <c r="A6" t="s">
        <v>112</v>
      </c>
      <c r="B6" t="s">
        <v>109</v>
      </c>
      <c r="C6" s="50">
        <f t="shared" si="1"/>
        <v>291562.42098813568</v>
      </c>
      <c r="D6" s="50">
        <f t="shared" si="2"/>
        <v>145525.90443109535</v>
      </c>
      <c r="E6" s="16">
        <f>SUM(G6:AN6)</f>
        <v>530098.82871803106</v>
      </c>
      <c r="F6" s="16">
        <f t="shared" si="3"/>
        <v>17099.962216710679</v>
      </c>
      <c r="G6" s="13">
        <f>'Traffic_Reduced highway VMT'!F55</f>
        <v>0</v>
      </c>
      <c r="H6" s="13">
        <f>'Traffic_Reduced highway VMT'!G55</f>
        <v>0</v>
      </c>
      <c r="I6" s="13">
        <f>'Traffic_Reduced highway VMT'!H55</f>
        <v>0</v>
      </c>
      <c r="J6" s="13">
        <f>'Traffic_Reduced highway VMT'!I55</f>
        <v>0</v>
      </c>
      <c r="K6" s="13">
        <f>'Traffic_Reduced highway VMT'!J55</f>
        <v>0</v>
      </c>
      <c r="L6" s="13">
        <f>'Traffic_Reduced highway VMT'!K55</f>
        <v>2983.6707057300073</v>
      </c>
      <c r="M6" s="13">
        <f>'Traffic_Reduced highway VMT'!L55</f>
        <v>7956.4552152800179</v>
      </c>
      <c r="N6" s="13">
        <f>'Traffic_Reduced highway VMT'!M55</f>
        <v>11934.682822920029</v>
      </c>
      <c r="O6" s="13">
        <f>'Traffic_Reduced highway VMT'!N55</f>
        <v>13923.796626740033</v>
      </c>
      <c r="P6" s="13">
        <f>'Traffic_Reduced highway VMT'!O55</f>
        <v>15912.910430560036</v>
      </c>
      <c r="Q6" s="13">
        <f>'Traffic_Reduced highway VMT'!P55</f>
        <v>19891.138038200046</v>
      </c>
      <c r="R6" s="13">
        <f>'Traffic_Reduced highway VMT'!Q55</f>
        <v>19891.138038200046</v>
      </c>
      <c r="S6" s="13">
        <f>'Traffic_Reduced highway VMT'!R55</f>
        <v>19891.138038200046</v>
      </c>
      <c r="T6" s="13">
        <f>'Traffic_Reduced highway VMT'!S55</f>
        <v>19891.138038200046</v>
      </c>
      <c r="U6" s="13">
        <f>'Traffic_Reduced highway VMT'!T55</f>
        <v>19891.138038200046</v>
      </c>
      <c r="V6" s="13">
        <f>'Traffic_Reduced highway VMT'!U55</f>
        <v>19891.138038200046</v>
      </c>
      <c r="W6" s="13">
        <f>'Traffic_Reduced highway VMT'!V55</f>
        <v>19891.138038200046</v>
      </c>
      <c r="X6" s="13">
        <f>'Traffic_Reduced highway VMT'!W55</f>
        <v>19891.138038200046</v>
      </c>
      <c r="Y6" s="13">
        <f>'Traffic_Reduced highway VMT'!X55</f>
        <v>19891.138038200046</v>
      </c>
      <c r="Z6" s="13">
        <f>'Traffic_Reduced highway VMT'!Y55</f>
        <v>19891.138038200046</v>
      </c>
      <c r="AA6" s="13">
        <f>'Traffic_Reduced highway VMT'!Z55</f>
        <v>19891.138038200046</v>
      </c>
      <c r="AB6" s="13">
        <f>'Traffic_Reduced highway VMT'!AA55</f>
        <v>19891.138038200046</v>
      </c>
      <c r="AC6" s="13">
        <f>'Traffic_Reduced highway VMT'!AB55</f>
        <v>19891.138038200046</v>
      </c>
      <c r="AD6" s="13">
        <f>'Traffic_Reduced highway VMT'!AC55</f>
        <v>19891.138038200046</v>
      </c>
      <c r="AE6" s="13">
        <f>'Traffic_Reduced highway VMT'!AD55</f>
        <v>19891.138038200046</v>
      </c>
      <c r="AF6" s="13">
        <f>'Traffic_Reduced highway VMT'!AE55</f>
        <v>19891.138038200046</v>
      </c>
      <c r="AG6" s="13">
        <f>'Traffic_Reduced highway VMT'!AF55</f>
        <v>19891.138038200046</v>
      </c>
      <c r="AH6" s="13">
        <f>'Traffic_Reduced highway VMT'!AG55</f>
        <v>19891.138038200046</v>
      </c>
      <c r="AI6" s="13">
        <f>'Traffic_Reduced highway VMT'!AH55</f>
        <v>19891.138038200046</v>
      </c>
      <c r="AJ6" s="13">
        <f>'Traffic_Reduced highway VMT'!AI55</f>
        <v>19891.138038200046</v>
      </c>
      <c r="AK6" s="13">
        <f>'Traffic_Reduced highway VMT'!AJ55</f>
        <v>19891.138038200046</v>
      </c>
      <c r="AL6" s="13">
        <f>'Traffic_Reduced highway VMT'!AK55</f>
        <v>19891.138038200046</v>
      </c>
      <c r="AM6" s="13">
        <f>'Traffic_Reduced highway VMT'!AL55</f>
        <v>19891.138038200046</v>
      </c>
      <c r="AN6" s="13">
        <f>'Traffic_Reduced highway VMT'!AM55</f>
        <v>19891.138038200046</v>
      </c>
      <c r="AO6" s="13"/>
      <c r="AP6" s="13"/>
      <c r="AQ6" s="13"/>
      <c r="AR6" s="13"/>
      <c r="AS6" s="13"/>
      <c r="AT6" s="13"/>
    </row>
    <row r="7" spans="1:46" s="65" customFormat="1" x14ac:dyDescent="0.25">
      <c r="A7" t="s">
        <v>114</v>
      </c>
      <c r="B7" s="65" t="s">
        <v>109</v>
      </c>
      <c r="C7" s="50">
        <f t="shared" si="1"/>
        <v>895673.77706187137</v>
      </c>
      <c r="D7" s="50">
        <f t="shared" si="2"/>
        <v>447052.59354204673</v>
      </c>
      <c r="E7" s="50">
        <f t="shared" ref="E7:E8" si="4">SUM(G7:AT7)</f>
        <v>1628452.7290067798</v>
      </c>
      <c r="F7" s="16">
        <f t="shared" si="3"/>
        <v>52530.73319376709</v>
      </c>
      <c r="G7" s="13">
        <f>'Traffic_Reduced highway VMT'!F57</f>
        <v>0</v>
      </c>
      <c r="H7" s="13">
        <f>'Traffic_Reduced highway VMT'!G57</f>
        <v>0</v>
      </c>
      <c r="I7" s="13">
        <f>'Traffic_Reduced highway VMT'!H57</f>
        <v>0</v>
      </c>
      <c r="J7" s="13">
        <f>'Traffic_Reduced highway VMT'!I57</f>
        <v>0</v>
      </c>
      <c r="K7" s="13">
        <f>'Traffic_Reduced highway VMT'!J57</f>
        <v>0</v>
      </c>
      <c r="L7" s="13">
        <f>'Traffic_Reduced highway VMT'!K57</f>
        <v>9165.7752101694914</v>
      </c>
      <c r="M7" s="13">
        <f>'Traffic_Reduced highway VMT'!L57</f>
        <v>24442.067227118641</v>
      </c>
      <c r="N7" s="13">
        <f>'Traffic_Reduced highway VMT'!M57</f>
        <v>36663.100840677966</v>
      </c>
      <c r="O7" s="13">
        <f>'Traffic_Reduced highway VMT'!N57</f>
        <v>42773.617647457628</v>
      </c>
      <c r="P7" s="13">
        <f>'Traffic_Reduced highway VMT'!O57</f>
        <v>48884.134454237283</v>
      </c>
      <c r="Q7" s="13">
        <f>'Traffic_Reduced highway VMT'!P57</f>
        <v>61105.168067796607</v>
      </c>
      <c r="R7" s="13">
        <f>'Traffic_Reduced highway VMT'!Q57</f>
        <v>61105.168067796607</v>
      </c>
      <c r="S7" s="13">
        <f>'Traffic_Reduced highway VMT'!R57</f>
        <v>61105.168067796607</v>
      </c>
      <c r="T7" s="13">
        <f>'Traffic_Reduced highway VMT'!S57</f>
        <v>61105.168067796607</v>
      </c>
      <c r="U7" s="13">
        <f>'Traffic_Reduced highway VMT'!T57</f>
        <v>61105.168067796607</v>
      </c>
      <c r="V7" s="13">
        <f>'Traffic_Reduced highway VMT'!U57</f>
        <v>61105.168067796607</v>
      </c>
      <c r="W7" s="13">
        <f>'Traffic_Reduced highway VMT'!V57</f>
        <v>61105.168067796607</v>
      </c>
      <c r="X7" s="13">
        <f>'Traffic_Reduced highway VMT'!W57</f>
        <v>61105.168067796607</v>
      </c>
      <c r="Y7" s="13">
        <f>'Traffic_Reduced highway VMT'!X57</f>
        <v>61105.168067796607</v>
      </c>
      <c r="Z7" s="13">
        <f>'Traffic_Reduced highway VMT'!Y57</f>
        <v>61105.168067796607</v>
      </c>
      <c r="AA7" s="13">
        <f>'Traffic_Reduced highway VMT'!Z57</f>
        <v>61105.168067796607</v>
      </c>
      <c r="AB7" s="13">
        <f>'Traffic_Reduced highway VMT'!AA57</f>
        <v>61105.168067796607</v>
      </c>
      <c r="AC7" s="13">
        <f>'Traffic_Reduced highway VMT'!AB57</f>
        <v>61105.168067796607</v>
      </c>
      <c r="AD7" s="13">
        <f>'Traffic_Reduced highway VMT'!AC57</f>
        <v>61105.168067796607</v>
      </c>
      <c r="AE7" s="13">
        <f>'Traffic_Reduced highway VMT'!AD57</f>
        <v>61105.168067796607</v>
      </c>
      <c r="AF7" s="13">
        <f>'Traffic_Reduced highway VMT'!AE57</f>
        <v>61105.168067796607</v>
      </c>
      <c r="AG7" s="13">
        <f>'Traffic_Reduced highway VMT'!AF57</f>
        <v>61105.168067796607</v>
      </c>
      <c r="AH7" s="13">
        <f>'Traffic_Reduced highway VMT'!AG57</f>
        <v>61105.168067796607</v>
      </c>
      <c r="AI7" s="13">
        <f>'Traffic_Reduced highway VMT'!AH57</f>
        <v>61105.168067796607</v>
      </c>
      <c r="AJ7" s="13">
        <f>'Traffic_Reduced highway VMT'!AI57</f>
        <v>61105.168067796607</v>
      </c>
      <c r="AK7" s="13">
        <f>'Traffic_Reduced highway VMT'!AJ57</f>
        <v>61105.168067796607</v>
      </c>
      <c r="AL7" s="13">
        <f>'Traffic_Reduced highway VMT'!AK57</f>
        <v>61105.168067796607</v>
      </c>
      <c r="AM7" s="13">
        <f>'Traffic_Reduced highway VMT'!AL57</f>
        <v>61105.168067796607</v>
      </c>
      <c r="AN7" s="13">
        <f>'Traffic_Reduced highway VMT'!AM57</f>
        <v>61105.168067796607</v>
      </c>
      <c r="AO7" s="66"/>
      <c r="AP7" s="66"/>
      <c r="AQ7" s="66"/>
      <c r="AR7" s="66"/>
      <c r="AS7" s="66"/>
      <c r="AT7" s="66"/>
    </row>
    <row r="8" spans="1:46" s="65" customFormat="1" x14ac:dyDescent="0.25">
      <c r="A8" t="s">
        <v>115</v>
      </c>
      <c r="B8" s="65" t="s">
        <v>109</v>
      </c>
      <c r="C8" s="50">
        <f t="shared" si="1"/>
        <v>9605776.7395041287</v>
      </c>
      <c r="D8" s="50">
        <f t="shared" si="2"/>
        <v>4794477.0901610814</v>
      </c>
      <c r="E8" s="50">
        <f t="shared" si="4"/>
        <v>17464565.499492999</v>
      </c>
      <c r="F8" s="16">
        <f t="shared" si="3"/>
        <v>563373.08062880638</v>
      </c>
      <c r="G8" s="13">
        <f>'Traffic_Reduced highway VMT'!F58</f>
        <v>0</v>
      </c>
      <c r="H8" s="13">
        <f>'Traffic_Reduced highway VMT'!G58</f>
        <v>0</v>
      </c>
      <c r="I8" s="13">
        <f>'Traffic_Reduced highway VMT'!H58</f>
        <v>0</v>
      </c>
      <c r="J8" s="13">
        <f>'Traffic_Reduced highway VMT'!I58</f>
        <v>0</v>
      </c>
      <c r="K8" s="13">
        <f>'Traffic_Reduced highway VMT'!J58</f>
        <v>0</v>
      </c>
      <c r="L8" s="13">
        <f>'Traffic_Reduced highway VMT'!K58</f>
        <v>98299.61819602063</v>
      </c>
      <c r="M8" s="13">
        <f>'Traffic_Reduced highway VMT'!L58</f>
        <v>262132.31518938835</v>
      </c>
      <c r="N8" s="13">
        <f>'Traffic_Reduced highway VMT'!M58</f>
        <v>393198.47278408252</v>
      </c>
      <c r="O8" s="13">
        <f>'Traffic_Reduced highway VMT'!N58</f>
        <v>458731.55158142961</v>
      </c>
      <c r="P8" s="13">
        <f>'Traffic_Reduced highway VMT'!O58</f>
        <v>524264.6303787767</v>
      </c>
      <c r="Q8" s="13">
        <f>'Traffic_Reduced highway VMT'!P58</f>
        <v>655330.78797347087</v>
      </c>
      <c r="R8" s="13">
        <f>'Traffic_Reduced highway VMT'!Q58</f>
        <v>655330.78797347087</v>
      </c>
      <c r="S8" s="13">
        <f>'Traffic_Reduced highway VMT'!R58</f>
        <v>655330.78797347087</v>
      </c>
      <c r="T8" s="13">
        <f>'Traffic_Reduced highway VMT'!S58</f>
        <v>655330.78797347087</v>
      </c>
      <c r="U8" s="13">
        <f>'Traffic_Reduced highway VMT'!T58</f>
        <v>655330.78797347087</v>
      </c>
      <c r="V8" s="13">
        <f>'Traffic_Reduced highway VMT'!U58</f>
        <v>655330.78797347087</v>
      </c>
      <c r="W8" s="13">
        <f>'Traffic_Reduced highway VMT'!V58</f>
        <v>655330.78797347087</v>
      </c>
      <c r="X8" s="13">
        <f>'Traffic_Reduced highway VMT'!W58</f>
        <v>655330.78797347087</v>
      </c>
      <c r="Y8" s="13">
        <f>'Traffic_Reduced highway VMT'!X58</f>
        <v>655330.78797347087</v>
      </c>
      <c r="Z8" s="13">
        <f>'Traffic_Reduced highway VMT'!Y58</f>
        <v>655330.78797347087</v>
      </c>
      <c r="AA8" s="13">
        <f>'Traffic_Reduced highway VMT'!Z58</f>
        <v>655330.78797347087</v>
      </c>
      <c r="AB8" s="13">
        <f>'Traffic_Reduced highway VMT'!AA58</f>
        <v>655330.78797347087</v>
      </c>
      <c r="AC8" s="13">
        <f>'Traffic_Reduced highway VMT'!AB58</f>
        <v>655330.78797347087</v>
      </c>
      <c r="AD8" s="13">
        <f>'Traffic_Reduced highway VMT'!AC58</f>
        <v>655330.78797347087</v>
      </c>
      <c r="AE8" s="13">
        <f>'Traffic_Reduced highway VMT'!AD58</f>
        <v>655330.78797347087</v>
      </c>
      <c r="AF8" s="13">
        <f>'Traffic_Reduced highway VMT'!AE58</f>
        <v>655330.78797347087</v>
      </c>
      <c r="AG8" s="13">
        <f>'Traffic_Reduced highway VMT'!AF58</f>
        <v>655330.78797347087</v>
      </c>
      <c r="AH8" s="13">
        <f>'Traffic_Reduced highway VMT'!AG58</f>
        <v>655330.78797347087</v>
      </c>
      <c r="AI8" s="13">
        <f>'Traffic_Reduced highway VMT'!AH58</f>
        <v>655330.78797347087</v>
      </c>
      <c r="AJ8" s="13">
        <f>'Traffic_Reduced highway VMT'!AI58</f>
        <v>655330.78797347087</v>
      </c>
      <c r="AK8" s="13">
        <f>'Traffic_Reduced highway VMT'!AJ58</f>
        <v>655330.78797347087</v>
      </c>
      <c r="AL8" s="13">
        <f>'Traffic_Reduced highway VMT'!AK58</f>
        <v>655330.78797347087</v>
      </c>
      <c r="AM8" s="13">
        <f>'Traffic_Reduced highway VMT'!AL58</f>
        <v>655330.78797347087</v>
      </c>
      <c r="AN8" s="13">
        <f>'Traffic_Reduced highway VMT'!AM58</f>
        <v>655330.78797347087</v>
      </c>
      <c r="AO8" s="66"/>
      <c r="AP8" s="66"/>
      <c r="AQ8" s="66"/>
      <c r="AR8" s="66"/>
      <c r="AS8" s="66"/>
      <c r="AT8" s="66"/>
    </row>
    <row r="9" spans="1:46" s="65" customFormat="1" x14ac:dyDescent="0.25">
      <c r="A9" t="s">
        <v>116</v>
      </c>
      <c r="B9" s="65" t="s">
        <v>109</v>
      </c>
      <c r="C9" s="50">
        <f t="shared" si="1"/>
        <v>2596155.8755416563</v>
      </c>
      <c r="D9" s="50">
        <f t="shared" si="2"/>
        <v>1295804.6189624544</v>
      </c>
      <c r="E9" s="50">
        <f t="shared" ref="E9" si="5">SUM(G9:AT9)</f>
        <v>4720152.8377008094</v>
      </c>
      <c r="F9" s="16">
        <f t="shared" si="3"/>
        <v>152262.99476454224</v>
      </c>
      <c r="G9" s="13">
        <f>'Traffic_Reduced highway VMT'!F59</f>
        <v>0</v>
      </c>
      <c r="H9" s="13">
        <f>'Traffic_Reduced highway VMT'!G59</f>
        <v>0</v>
      </c>
      <c r="I9" s="13">
        <f>'Traffic_Reduced highway VMT'!H59</f>
        <v>0</v>
      </c>
      <c r="J9" s="13">
        <f>'Traffic_Reduced highway VMT'!I59</f>
        <v>0</v>
      </c>
      <c r="K9" s="13">
        <f>'Traffic_Reduced highway VMT'!J59</f>
        <v>0</v>
      </c>
      <c r="L9" s="13">
        <f>'Traffic_Reduced highway VMT'!K59</f>
        <v>26567.464377302873</v>
      </c>
      <c r="M9" s="13">
        <f>'Traffic_Reduced highway VMT'!L59</f>
        <v>70846.571672807651</v>
      </c>
      <c r="N9" s="13">
        <f>'Traffic_Reduced highway VMT'!M59</f>
        <v>106269.85750921149</v>
      </c>
      <c r="O9" s="13">
        <f>'Traffic_Reduced highway VMT'!N59</f>
        <v>123981.50042741341</v>
      </c>
      <c r="P9" s="13">
        <f>'Traffic_Reduced highway VMT'!O59</f>
        <v>141693.1433456153</v>
      </c>
      <c r="Q9" s="13">
        <f>'Traffic_Reduced highway VMT'!P59</f>
        <v>177116.42918201914</v>
      </c>
      <c r="R9" s="13">
        <f>'Traffic_Reduced highway VMT'!Q59</f>
        <v>177116.42918201914</v>
      </c>
      <c r="S9" s="13">
        <f>'Traffic_Reduced highway VMT'!R59</f>
        <v>177116.42918201914</v>
      </c>
      <c r="T9" s="13">
        <f>'Traffic_Reduced highway VMT'!S59</f>
        <v>177116.42918201914</v>
      </c>
      <c r="U9" s="13">
        <f>'Traffic_Reduced highway VMT'!T59</f>
        <v>177116.42918201914</v>
      </c>
      <c r="V9" s="13">
        <f>'Traffic_Reduced highway VMT'!U59</f>
        <v>177116.42918201914</v>
      </c>
      <c r="W9" s="13">
        <f>'Traffic_Reduced highway VMT'!V59</f>
        <v>177116.42918201914</v>
      </c>
      <c r="X9" s="13">
        <f>'Traffic_Reduced highway VMT'!W59</f>
        <v>177116.42918201914</v>
      </c>
      <c r="Y9" s="13">
        <f>'Traffic_Reduced highway VMT'!X59</f>
        <v>177116.42918201914</v>
      </c>
      <c r="Z9" s="13">
        <f>'Traffic_Reduced highway VMT'!Y59</f>
        <v>177116.42918201914</v>
      </c>
      <c r="AA9" s="13">
        <f>'Traffic_Reduced highway VMT'!Z59</f>
        <v>177116.42918201914</v>
      </c>
      <c r="AB9" s="13">
        <f>'Traffic_Reduced highway VMT'!AA59</f>
        <v>177116.42918201914</v>
      </c>
      <c r="AC9" s="13">
        <f>'Traffic_Reduced highway VMT'!AB59</f>
        <v>177116.42918201914</v>
      </c>
      <c r="AD9" s="13">
        <f>'Traffic_Reduced highway VMT'!AC59</f>
        <v>177116.42918201914</v>
      </c>
      <c r="AE9" s="13">
        <f>'Traffic_Reduced highway VMT'!AD59</f>
        <v>177116.42918201914</v>
      </c>
      <c r="AF9" s="13">
        <f>'Traffic_Reduced highway VMT'!AE59</f>
        <v>177116.42918201914</v>
      </c>
      <c r="AG9" s="13">
        <f>'Traffic_Reduced highway VMT'!AF59</f>
        <v>177116.42918201914</v>
      </c>
      <c r="AH9" s="13">
        <f>'Traffic_Reduced highway VMT'!AG59</f>
        <v>177116.42918201914</v>
      </c>
      <c r="AI9" s="13">
        <f>'Traffic_Reduced highway VMT'!AH59</f>
        <v>177116.42918201914</v>
      </c>
      <c r="AJ9" s="13">
        <f>'Traffic_Reduced highway VMT'!AI59</f>
        <v>177116.42918201914</v>
      </c>
      <c r="AK9" s="13">
        <f>'Traffic_Reduced highway VMT'!AJ59</f>
        <v>177116.42918201914</v>
      </c>
      <c r="AL9" s="13">
        <f>'Traffic_Reduced highway VMT'!AK59</f>
        <v>177116.42918201914</v>
      </c>
      <c r="AM9" s="13">
        <f>'Traffic_Reduced highway VMT'!AL59</f>
        <v>177116.42918201914</v>
      </c>
      <c r="AN9" s="13">
        <f>'Traffic_Reduced highway VMT'!AM59</f>
        <v>177116.42918201914</v>
      </c>
      <c r="AO9" s="66"/>
      <c r="AP9" s="66"/>
      <c r="AQ9" s="66"/>
      <c r="AR9" s="66"/>
      <c r="AS9" s="66"/>
      <c r="AT9" s="66"/>
    </row>
    <row r="10" spans="1:46" x14ac:dyDescent="0.25">
      <c r="A10" t="s">
        <v>117</v>
      </c>
      <c r="B10" t="s">
        <v>118</v>
      </c>
      <c r="C10" s="50">
        <f t="shared" ref="C10:C15" si="6">-NPV($C$1, G10:AN10)</f>
        <v>203124.71511179337</v>
      </c>
      <c r="D10" s="50">
        <f>-NPV($D$1, G10:AN10)</f>
        <v>108074.19778652732</v>
      </c>
      <c r="E10" s="16">
        <f t="shared" ref="E10:E15" si="7">-SUM(G10:AT10)</f>
        <v>354595.34924396017</v>
      </c>
      <c r="F10" s="16">
        <f>-AVERAGE(J10:AN10)</f>
        <v>11438.559653030974</v>
      </c>
      <c r="G10" s="13">
        <v>0</v>
      </c>
      <c r="H10" s="13">
        <v>0</v>
      </c>
      <c r="I10" s="13">
        <v>0</v>
      </c>
      <c r="J10" s="13">
        <f>'Traffic_Reduced port VMT'!F42</f>
        <v>0</v>
      </c>
      <c r="K10" s="13">
        <f>'Traffic_Reduced port VMT'!G42</f>
        <v>-2721.5100378787888</v>
      </c>
      <c r="L10" s="13">
        <f>'Traffic_Reduced port VMT'!H42</f>
        <v>-11918.260151515156</v>
      </c>
      <c r="M10" s="13">
        <f>'Traffic_Reduced port VMT'!I42</f>
        <v>-12141.270680520231</v>
      </c>
      <c r="N10" s="13">
        <f>'Traffic_Reduced port VMT'!J42</f>
        <v>-12141.270680520231</v>
      </c>
      <c r="O10" s="13">
        <f>'Traffic_Reduced port VMT'!K42</f>
        <v>-12141.270680520231</v>
      </c>
      <c r="P10" s="13">
        <f>'Traffic_Reduced port VMT'!L42</f>
        <v>-12141.270680520231</v>
      </c>
      <c r="Q10" s="13">
        <f>'Traffic_Reduced port VMT'!M42</f>
        <v>-12141.270680520231</v>
      </c>
      <c r="R10" s="13">
        <f>'Traffic_Reduced port VMT'!N42</f>
        <v>-12141.270680520231</v>
      </c>
      <c r="S10" s="13">
        <f>'Traffic_Reduced port VMT'!O42</f>
        <v>-12141.270680520231</v>
      </c>
      <c r="T10" s="13">
        <f>'Traffic_Reduced port VMT'!P42</f>
        <v>-12141.270680520231</v>
      </c>
      <c r="U10" s="13">
        <f>'Traffic_Reduced port VMT'!Q42</f>
        <v>-12141.270680520231</v>
      </c>
      <c r="V10" s="13">
        <f>'Traffic_Reduced port VMT'!R42</f>
        <v>-12141.270680520231</v>
      </c>
      <c r="W10" s="13">
        <f>'Traffic_Reduced port VMT'!S42</f>
        <v>-12141.270680520231</v>
      </c>
      <c r="X10" s="13">
        <f>'Traffic_Reduced port VMT'!T42</f>
        <v>-12141.270680520231</v>
      </c>
      <c r="Y10" s="13">
        <f>'Traffic_Reduced port VMT'!U42</f>
        <v>-12141.270680520231</v>
      </c>
      <c r="Z10" s="13">
        <f>'Traffic_Reduced port VMT'!V42</f>
        <v>-12141.270680520231</v>
      </c>
      <c r="AA10" s="13">
        <f>'Traffic_Reduced port VMT'!W42</f>
        <v>-12141.270680520231</v>
      </c>
      <c r="AB10" s="13">
        <f>'Traffic_Reduced port VMT'!X42</f>
        <v>-12141.270680520231</v>
      </c>
      <c r="AC10" s="13">
        <f>'Traffic_Reduced port VMT'!Y42</f>
        <v>-12141.270680520231</v>
      </c>
      <c r="AD10" s="13">
        <f>'Traffic_Reduced port VMT'!Z42</f>
        <v>-12141.270680520231</v>
      </c>
      <c r="AE10" s="13">
        <f>'Traffic_Reduced port VMT'!AA42</f>
        <v>-12141.270680520231</v>
      </c>
      <c r="AF10" s="13">
        <f>'Traffic_Reduced port VMT'!AB42</f>
        <v>-12141.270680520231</v>
      </c>
      <c r="AG10" s="13">
        <f>'Traffic_Reduced port VMT'!AC42</f>
        <v>-12141.270680520231</v>
      </c>
      <c r="AH10" s="13">
        <f>'Traffic_Reduced port VMT'!AD42</f>
        <v>-12141.270680520231</v>
      </c>
      <c r="AI10" s="13">
        <f>'Traffic_Reduced port VMT'!AE42</f>
        <v>-12141.270680520231</v>
      </c>
      <c r="AJ10" s="13">
        <f>'Traffic_Reduced port VMT'!AF42</f>
        <v>-12141.270680520231</v>
      </c>
      <c r="AK10" s="13">
        <f>'Traffic_Reduced port VMT'!AG42</f>
        <v>-12141.270680520231</v>
      </c>
      <c r="AL10" s="13">
        <f>'Traffic_Reduced port VMT'!AH42</f>
        <v>-12141.270680520231</v>
      </c>
      <c r="AM10" s="13">
        <f>'Traffic_Reduced port VMT'!AI42</f>
        <v>-12141.270680520231</v>
      </c>
      <c r="AN10" s="13">
        <f>'Traffic_Reduced port VMT'!AJ42</f>
        <v>-12141.270680520231</v>
      </c>
    </row>
    <row r="11" spans="1:46" x14ac:dyDescent="0.25">
      <c r="A11" t="s">
        <v>119</v>
      </c>
      <c r="B11" t="s">
        <v>118</v>
      </c>
      <c r="C11" s="50">
        <f t="shared" si="6"/>
        <v>29080.561239403218</v>
      </c>
      <c r="D11" s="50">
        <f t="shared" ref="D11:D15" si="8">-NPV($D$1, G11:AN11)</f>
        <v>15472.555003465503</v>
      </c>
      <c r="E11" s="16">
        <f t="shared" si="7"/>
        <v>50766.012216786374</v>
      </c>
      <c r="F11" s="16">
        <f t="shared" ref="F11:F15" si="9">-AVERAGE(J11:AN11)</f>
        <v>1637.6132973156896</v>
      </c>
      <c r="G11" s="13">
        <v>0</v>
      </c>
      <c r="H11" s="13">
        <v>0</v>
      </c>
      <c r="I11" s="13">
        <v>0</v>
      </c>
      <c r="J11" s="13">
        <f>'Traffic_Reduced port VMT'!F43</f>
        <v>0</v>
      </c>
      <c r="K11" s="13">
        <f>'Traffic_Reduced port VMT'!G43</f>
        <v>-389.62781696273089</v>
      </c>
      <c r="L11" s="13">
        <f>'Traffic_Reduced port VMT'!H43</f>
        <v>-1706.2901184256361</v>
      </c>
      <c r="M11" s="13">
        <f>'Traffic_Reduced port VMT'!I43</f>
        <v>-1738.217652907073</v>
      </c>
      <c r="N11" s="13">
        <f>'Traffic_Reduced port VMT'!J43</f>
        <v>-1738.217652907073</v>
      </c>
      <c r="O11" s="13">
        <f>'Traffic_Reduced port VMT'!K43</f>
        <v>-1738.217652907073</v>
      </c>
      <c r="P11" s="13">
        <f>'Traffic_Reduced port VMT'!L43</f>
        <v>-1738.217652907073</v>
      </c>
      <c r="Q11" s="13">
        <f>'Traffic_Reduced port VMT'!M43</f>
        <v>-1738.217652907073</v>
      </c>
      <c r="R11" s="13">
        <f>'Traffic_Reduced port VMT'!N43</f>
        <v>-1738.217652907073</v>
      </c>
      <c r="S11" s="13">
        <f>'Traffic_Reduced port VMT'!O43</f>
        <v>-1738.217652907073</v>
      </c>
      <c r="T11" s="13">
        <f>'Traffic_Reduced port VMT'!P43</f>
        <v>-1738.217652907073</v>
      </c>
      <c r="U11" s="13">
        <f>'Traffic_Reduced port VMT'!Q43</f>
        <v>-1738.217652907073</v>
      </c>
      <c r="V11" s="13">
        <f>'Traffic_Reduced port VMT'!R43</f>
        <v>-1738.217652907073</v>
      </c>
      <c r="W11" s="13">
        <f>'Traffic_Reduced port VMT'!S43</f>
        <v>-1738.217652907073</v>
      </c>
      <c r="X11" s="13">
        <f>'Traffic_Reduced port VMT'!T43</f>
        <v>-1738.217652907073</v>
      </c>
      <c r="Y11" s="13">
        <f>'Traffic_Reduced port VMT'!U43</f>
        <v>-1738.217652907073</v>
      </c>
      <c r="Z11" s="13">
        <f>'Traffic_Reduced port VMT'!V43</f>
        <v>-1738.217652907073</v>
      </c>
      <c r="AA11" s="13">
        <f>'Traffic_Reduced port VMT'!W43</f>
        <v>-1738.217652907073</v>
      </c>
      <c r="AB11" s="13">
        <f>'Traffic_Reduced port VMT'!X43</f>
        <v>-1738.217652907073</v>
      </c>
      <c r="AC11" s="13">
        <f>'Traffic_Reduced port VMT'!Y43</f>
        <v>-1738.217652907073</v>
      </c>
      <c r="AD11" s="13">
        <f>'Traffic_Reduced port VMT'!Z43</f>
        <v>-1738.217652907073</v>
      </c>
      <c r="AE11" s="13">
        <f>'Traffic_Reduced port VMT'!AA43</f>
        <v>-1738.217652907073</v>
      </c>
      <c r="AF11" s="13">
        <f>'Traffic_Reduced port VMT'!AB43</f>
        <v>-1738.217652907073</v>
      </c>
      <c r="AG11" s="13">
        <f>'Traffic_Reduced port VMT'!AC43</f>
        <v>-1738.217652907073</v>
      </c>
      <c r="AH11" s="13">
        <f>'Traffic_Reduced port VMT'!AD43</f>
        <v>-1738.217652907073</v>
      </c>
      <c r="AI11" s="13">
        <f>'Traffic_Reduced port VMT'!AE43</f>
        <v>-1738.217652907073</v>
      </c>
      <c r="AJ11" s="13">
        <f>'Traffic_Reduced port VMT'!AF43</f>
        <v>-1738.217652907073</v>
      </c>
      <c r="AK11" s="13">
        <f>'Traffic_Reduced port VMT'!AG43</f>
        <v>-1738.217652907073</v>
      </c>
      <c r="AL11" s="13">
        <f>'Traffic_Reduced port VMT'!AH43</f>
        <v>-1738.217652907073</v>
      </c>
      <c r="AM11" s="13">
        <f>'Traffic_Reduced port VMT'!AI43</f>
        <v>-1738.217652907073</v>
      </c>
      <c r="AN11" s="13">
        <f>'Traffic_Reduced port VMT'!AJ43</f>
        <v>-1738.217652907073</v>
      </c>
    </row>
    <row r="12" spans="1:46" x14ac:dyDescent="0.25">
      <c r="A12" t="s">
        <v>120</v>
      </c>
      <c r="B12" t="s">
        <v>118</v>
      </c>
      <c r="C12" s="50">
        <f t="shared" si="6"/>
        <v>12281.752879089508</v>
      </c>
      <c r="D12" s="50">
        <f t="shared" si="8"/>
        <v>6408.7090458756165</v>
      </c>
      <c r="E12" s="16">
        <f t="shared" si="7"/>
        <v>21777.555365006978</v>
      </c>
      <c r="F12" s="16">
        <f t="shared" si="9"/>
        <v>702.50178596796707</v>
      </c>
      <c r="G12" s="13">
        <v>0</v>
      </c>
      <c r="H12" s="13">
        <v>0</v>
      </c>
      <c r="I12" s="13">
        <v>0</v>
      </c>
      <c r="J12" s="13">
        <f>'Traffic_Reduced port VMT'!F44</f>
        <v>0</v>
      </c>
      <c r="K12" s="13">
        <f>'Traffic_Reduced port VMT'!G44</f>
        <v>-143.58525285984857</v>
      </c>
      <c r="L12" s="13">
        <f>'Traffic_Reduced port VMT'!H44</f>
        <v>-639.99168972424275</v>
      </c>
      <c r="M12" s="13">
        <f>'Traffic_Reduced port VMT'!I44</f>
        <v>-662.61525686642744</v>
      </c>
      <c r="N12" s="13">
        <f>'Traffic_Reduced port VMT'!J44</f>
        <v>-674.13624084683397</v>
      </c>
      <c r="O12" s="13">
        <f>'Traffic_Reduced port VMT'!K44</f>
        <v>-689.73717261829847</v>
      </c>
      <c r="P12" s="13">
        <f>'Traffic_Reduced port VMT'!L44</f>
        <v>-694.59368089050656</v>
      </c>
      <c r="Q12" s="13">
        <f>'Traffic_Reduced port VMT'!M44</f>
        <v>-699.45018916271465</v>
      </c>
      <c r="R12" s="13">
        <f>'Traffic_Reduced port VMT'!N44</f>
        <v>-704.30669743492274</v>
      </c>
      <c r="S12" s="13">
        <f>'Traffic_Reduced port VMT'!O44</f>
        <v>-709.16320570713083</v>
      </c>
      <c r="T12" s="13">
        <f>'Traffic_Reduced port VMT'!P44</f>
        <v>-714.01971397933892</v>
      </c>
      <c r="U12" s="13">
        <f>'Traffic_Reduced port VMT'!Q44</f>
        <v>-723.73273052375509</v>
      </c>
      <c r="V12" s="13">
        <f>'Traffic_Reduced port VMT'!R44</f>
        <v>-728.58923879596318</v>
      </c>
      <c r="W12" s="13">
        <f>'Traffic_Reduced port VMT'!S44</f>
        <v>-733.44574706817139</v>
      </c>
      <c r="X12" s="13">
        <f>'Traffic_Reduced port VMT'!T44</f>
        <v>-738.30225534037936</v>
      </c>
      <c r="Y12" s="13">
        <f>'Traffic_Reduced port VMT'!U44</f>
        <v>-743.15876361258756</v>
      </c>
      <c r="Z12" s="13">
        <f>'Traffic_Reduced port VMT'!V44</f>
        <v>-752.87178015700374</v>
      </c>
      <c r="AA12" s="13">
        <f>'Traffic_Reduced port VMT'!W44</f>
        <v>-757.72828842921172</v>
      </c>
      <c r="AB12" s="13">
        <f>'Traffic_Reduced port VMT'!X44</f>
        <v>-762.58479670141992</v>
      </c>
      <c r="AC12" s="13">
        <f>'Traffic_Reduced port VMT'!Y44</f>
        <v>-767.44130497362789</v>
      </c>
      <c r="AD12" s="13">
        <f>'Traffic_Reduced port VMT'!Z44</f>
        <v>-772.2978132458361</v>
      </c>
      <c r="AE12" s="13">
        <f>'Traffic_Reduced port VMT'!AA44</f>
        <v>-782.01082979025227</v>
      </c>
      <c r="AF12" s="13">
        <f>'Traffic_Reduced port VMT'!AB44</f>
        <v>-786.86733806246025</v>
      </c>
      <c r="AG12" s="13">
        <f>'Traffic_Reduced port VMT'!AC44</f>
        <v>-791.72384633466845</v>
      </c>
      <c r="AH12" s="13">
        <f>'Traffic_Reduced port VMT'!AD44</f>
        <v>-796.58035460687643</v>
      </c>
      <c r="AI12" s="13">
        <f>'Traffic_Reduced port VMT'!AE44</f>
        <v>-801.43686287908463</v>
      </c>
      <c r="AJ12" s="13">
        <f>'Traffic_Reduced port VMT'!AF44</f>
        <v>-801.43686287908463</v>
      </c>
      <c r="AK12" s="13">
        <f>'Traffic_Reduced port VMT'!AG44</f>
        <v>-801.43686287908463</v>
      </c>
      <c r="AL12" s="13">
        <f>'Traffic_Reduced port VMT'!AH44</f>
        <v>-801.43686287908463</v>
      </c>
      <c r="AM12" s="13">
        <f>'Traffic_Reduced port VMT'!AI44</f>
        <v>-801.43686287908463</v>
      </c>
      <c r="AN12" s="13">
        <f>'Traffic_Reduced port VMT'!AJ44</f>
        <v>-801.43686287908463</v>
      </c>
    </row>
    <row r="13" spans="1:46" x14ac:dyDescent="0.25">
      <c r="A13" t="s">
        <v>121</v>
      </c>
      <c r="B13" t="s">
        <v>118</v>
      </c>
      <c r="C13" s="50">
        <f t="shared" si="6"/>
        <v>30651.79009954906</v>
      </c>
      <c r="D13" s="50">
        <f t="shared" si="8"/>
        <v>16308.540415215342</v>
      </c>
      <c r="E13" s="16">
        <f t="shared" si="7"/>
        <v>53508.910569155669</v>
      </c>
      <c r="F13" s="16">
        <f t="shared" si="9"/>
        <v>1726.0938893276023</v>
      </c>
      <c r="G13" s="13">
        <v>0</v>
      </c>
      <c r="H13" s="13">
        <v>0</v>
      </c>
      <c r="I13" s="13">
        <v>0</v>
      </c>
      <c r="J13" s="13">
        <f>'Traffic_Reduced port VMT'!F45</f>
        <v>0</v>
      </c>
      <c r="K13" s="13">
        <f>'Traffic_Reduced port VMT'!G45</f>
        <v>-410.67949012982103</v>
      </c>
      <c r="L13" s="13">
        <f>'Traffic_Reduced port VMT'!H45</f>
        <v>-1798.4813335738297</v>
      </c>
      <c r="M13" s="13">
        <f>'Traffic_Reduced port VMT'!I45</f>
        <v>-1832.1339194804279</v>
      </c>
      <c r="N13" s="13">
        <f>'Traffic_Reduced port VMT'!J45</f>
        <v>-1832.1339194804279</v>
      </c>
      <c r="O13" s="13">
        <f>'Traffic_Reduced port VMT'!K45</f>
        <v>-1832.1339194804279</v>
      </c>
      <c r="P13" s="13">
        <f>'Traffic_Reduced port VMT'!L45</f>
        <v>-1832.1339194804279</v>
      </c>
      <c r="Q13" s="13">
        <f>'Traffic_Reduced port VMT'!M45</f>
        <v>-1832.1339194804279</v>
      </c>
      <c r="R13" s="13">
        <f>'Traffic_Reduced port VMT'!N45</f>
        <v>-1832.1339194804279</v>
      </c>
      <c r="S13" s="13">
        <f>'Traffic_Reduced port VMT'!O45</f>
        <v>-1832.1339194804279</v>
      </c>
      <c r="T13" s="13">
        <f>'Traffic_Reduced port VMT'!P45</f>
        <v>-1832.1339194804279</v>
      </c>
      <c r="U13" s="13">
        <f>'Traffic_Reduced port VMT'!Q45</f>
        <v>-1832.1339194804279</v>
      </c>
      <c r="V13" s="13">
        <f>'Traffic_Reduced port VMT'!R45</f>
        <v>-1832.1339194804279</v>
      </c>
      <c r="W13" s="13">
        <f>'Traffic_Reduced port VMT'!S45</f>
        <v>-1832.1339194804279</v>
      </c>
      <c r="X13" s="13">
        <f>'Traffic_Reduced port VMT'!T45</f>
        <v>-1832.1339194804279</v>
      </c>
      <c r="Y13" s="13">
        <f>'Traffic_Reduced port VMT'!U45</f>
        <v>-1832.1339194804279</v>
      </c>
      <c r="Z13" s="13">
        <f>'Traffic_Reduced port VMT'!V45</f>
        <v>-1832.1339194804279</v>
      </c>
      <c r="AA13" s="13">
        <f>'Traffic_Reduced port VMT'!W45</f>
        <v>-1832.1339194804279</v>
      </c>
      <c r="AB13" s="13">
        <f>'Traffic_Reduced port VMT'!X45</f>
        <v>-1832.1339194804279</v>
      </c>
      <c r="AC13" s="13">
        <f>'Traffic_Reduced port VMT'!Y45</f>
        <v>-1832.1339194804279</v>
      </c>
      <c r="AD13" s="13">
        <f>'Traffic_Reduced port VMT'!Z45</f>
        <v>-1832.1339194804279</v>
      </c>
      <c r="AE13" s="13">
        <f>'Traffic_Reduced port VMT'!AA45</f>
        <v>-1832.1339194804279</v>
      </c>
      <c r="AF13" s="13">
        <f>'Traffic_Reduced port VMT'!AB45</f>
        <v>-1832.1339194804279</v>
      </c>
      <c r="AG13" s="13">
        <f>'Traffic_Reduced port VMT'!AC45</f>
        <v>-1832.1339194804279</v>
      </c>
      <c r="AH13" s="13">
        <f>'Traffic_Reduced port VMT'!AD45</f>
        <v>-1832.1339194804279</v>
      </c>
      <c r="AI13" s="13">
        <f>'Traffic_Reduced port VMT'!AE45</f>
        <v>-1832.1339194804279</v>
      </c>
      <c r="AJ13" s="13">
        <f>'Traffic_Reduced port VMT'!AF45</f>
        <v>-1832.1339194804279</v>
      </c>
      <c r="AK13" s="13">
        <f>'Traffic_Reduced port VMT'!AG45</f>
        <v>-1832.1339194804279</v>
      </c>
      <c r="AL13" s="13">
        <f>'Traffic_Reduced port VMT'!AH45</f>
        <v>-1832.1339194804279</v>
      </c>
      <c r="AM13" s="13">
        <f>'Traffic_Reduced port VMT'!AI45</f>
        <v>-1832.1339194804279</v>
      </c>
      <c r="AN13" s="13">
        <f>'Traffic_Reduced port VMT'!AJ45</f>
        <v>-1832.1339194804279</v>
      </c>
    </row>
    <row r="14" spans="1:46" x14ac:dyDescent="0.25">
      <c r="A14" t="s">
        <v>122</v>
      </c>
      <c r="B14" t="s">
        <v>118</v>
      </c>
      <c r="C14" s="50">
        <f t="shared" si="6"/>
        <v>53112.567834841371</v>
      </c>
      <c r="D14" s="50">
        <f t="shared" si="8"/>
        <v>28258.984427246218</v>
      </c>
      <c r="E14" s="16">
        <f t="shared" si="7"/>
        <v>92718.749317500638</v>
      </c>
      <c r="F14" s="16">
        <f t="shared" si="9"/>
        <v>2990.9273973387303</v>
      </c>
      <c r="G14" s="13">
        <v>0</v>
      </c>
      <c r="H14" s="13">
        <v>0</v>
      </c>
      <c r="I14" s="13">
        <v>0</v>
      </c>
      <c r="J14" s="13">
        <f>'Traffic_Reduced port VMT'!F46</f>
        <v>0</v>
      </c>
      <c r="K14" s="13">
        <f>'Traffic_Reduced port VMT'!G46</f>
        <v>-711.61397775000023</v>
      </c>
      <c r="L14" s="13">
        <f>'Traffic_Reduced port VMT'!H46</f>
        <v>-3116.358343800001</v>
      </c>
      <c r="M14" s="13">
        <f>'Traffic_Reduced port VMT'!I46</f>
        <v>-3174.6706069982383</v>
      </c>
      <c r="N14" s="13">
        <f>'Traffic_Reduced port VMT'!J46</f>
        <v>-3174.6706069982383</v>
      </c>
      <c r="O14" s="13">
        <f>'Traffic_Reduced port VMT'!K46</f>
        <v>-3174.6706069982383</v>
      </c>
      <c r="P14" s="13">
        <f>'Traffic_Reduced port VMT'!L46</f>
        <v>-3174.6706069982383</v>
      </c>
      <c r="Q14" s="13">
        <f>'Traffic_Reduced port VMT'!M46</f>
        <v>-3174.6706069982383</v>
      </c>
      <c r="R14" s="13">
        <f>'Traffic_Reduced port VMT'!N46</f>
        <v>-3174.6706069982383</v>
      </c>
      <c r="S14" s="13">
        <f>'Traffic_Reduced port VMT'!O46</f>
        <v>-3174.6706069982383</v>
      </c>
      <c r="T14" s="13">
        <f>'Traffic_Reduced port VMT'!P46</f>
        <v>-3174.6706069982383</v>
      </c>
      <c r="U14" s="13">
        <f>'Traffic_Reduced port VMT'!Q46</f>
        <v>-3174.6706069982383</v>
      </c>
      <c r="V14" s="13">
        <f>'Traffic_Reduced port VMT'!R46</f>
        <v>-3174.6706069982383</v>
      </c>
      <c r="W14" s="13">
        <f>'Traffic_Reduced port VMT'!S46</f>
        <v>-3174.6706069982383</v>
      </c>
      <c r="X14" s="13">
        <f>'Traffic_Reduced port VMT'!T46</f>
        <v>-3174.6706069982383</v>
      </c>
      <c r="Y14" s="13">
        <f>'Traffic_Reduced port VMT'!U46</f>
        <v>-3174.6706069982383</v>
      </c>
      <c r="Z14" s="13">
        <f>'Traffic_Reduced port VMT'!V46</f>
        <v>-3174.6706069982383</v>
      </c>
      <c r="AA14" s="13">
        <f>'Traffic_Reduced port VMT'!W46</f>
        <v>-3174.6706069982383</v>
      </c>
      <c r="AB14" s="13">
        <f>'Traffic_Reduced port VMT'!X46</f>
        <v>-3174.6706069982383</v>
      </c>
      <c r="AC14" s="13">
        <f>'Traffic_Reduced port VMT'!Y46</f>
        <v>-3174.6706069982383</v>
      </c>
      <c r="AD14" s="13">
        <f>'Traffic_Reduced port VMT'!Z46</f>
        <v>-3174.6706069982383</v>
      </c>
      <c r="AE14" s="13">
        <f>'Traffic_Reduced port VMT'!AA46</f>
        <v>-3174.6706069982383</v>
      </c>
      <c r="AF14" s="13">
        <f>'Traffic_Reduced port VMT'!AB46</f>
        <v>-3174.6706069982383</v>
      </c>
      <c r="AG14" s="13">
        <f>'Traffic_Reduced port VMT'!AC46</f>
        <v>-3174.6706069982383</v>
      </c>
      <c r="AH14" s="13">
        <f>'Traffic_Reduced port VMT'!AD46</f>
        <v>-3174.6706069982383</v>
      </c>
      <c r="AI14" s="13">
        <f>'Traffic_Reduced port VMT'!AE46</f>
        <v>-3174.6706069982383</v>
      </c>
      <c r="AJ14" s="13">
        <f>'Traffic_Reduced port VMT'!AF46</f>
        <v>-3174.6706069982383</v>
      </c>
      <c r="AK14" s="13">
        <f>'Traffic_Reduced port VMT'!AG46</f>
        <v>-3174.6706069982383</v>
      </c>
      <c r="AL14" s="13">
        <f>'Traffic_Reduced port VMT'!AH46</f>
        <v>-3174.6706069982383</v>
      </c>
      <c r="AM14" s="13">
        <f>'Traffic_Reduced port VMT'!AI46</f>
        <v>-3174.6706069982383</v>
      </c>
      <c r="AN14" s="13">
        <f>'Traffic_Reduced port VMT'!AJ46</f>
        <v>-3174.6706069982383</v>
      </c>
    </row>
    <row r="15" spans="1:46" x14ac:dyDescent="0.25">
      <c r="A15" t="s">
        <v>123</v>
      </c>
      <c r="B15" t="s">
        <v>118</v>
      </c>
      <c r="C15" s="50">
        <f t="shared" si="6"/>
        <v>1355.1689087425534</v>
      </c>
      <c r="D15" s="50">
        <f t="shared" si="8"/>
        <v>721.02891367497466</v>
      </c>
      <c r="E15" s="16">
        <f t="shared" si="7"/>
        <v>2365.7219271207364</v>
      </c>
      <c r="F15" s="16">
        <f t="shared" si="9"/>
        <v>76.313610552281816</v>
      </c>
      <c r="G15" s="13">
        <v>0</v>
      </c>
      <c r="H15" s="13">
        <v>0</v>
      </c>
      <c r="I15" s="13">
        <v>0</v>
      </c>
      <c r="J15" s="13">
        <f>'Traffic_Reduced port VMT'!F47</f>
        <v>0</v>
      </c>
      <c r="K15" s="13">
        <f>'Traffic_Reduced port VMT'!G47</f>
        <v>-18.156853961046981</v>
      </c>
      <c r="L15" s="13">
        <f>'Traffic_Reduced port VMT'!H47</f>
        <v>-79.513985261466189</v>
      </c>
      <c r="M15" s="13">
        <f>'Traffic_Reduced port VMT'!I47</f>
        <v>-81.001824567793719</v>
      </c>
      <c r="N15" s="13">
        <f>'Traffic_Reduced port VMT'!J47</f>
        <v>-81.001824567793719</v>
      </c>
      <c r="O15" s="13">
        <f>'Traffic_Reduced port VMT'!K47</f>
        <v>-81.001824567793719</v>
      </c>
      <c r="P15" s="13">
        <f>'Traffic_Reduced port VMT'!L47</f>
        <v>-81.001824567793719</v>
      </c>
      <c r="Q15" s="13">
        <f>'Traffic_Reduced port VMT'!M47</f>
        <v>-81.001824567793719</v>
      </c>
      <c r="R15" s="13">
        <f>'Traffic_Reduced port VMT'!N47</f>
        <v>-81.001824567793719</v>
      </c>
      <c r="S15" s="13">
        <f>'Traffic_Reduced port VMT'!O47</f>
        <v>-81.001824567793719</v>
      </c>
      <c r="T15" s="13">
        <f>'Traffic_Reduced port VMT'!P47</f>
        <v>-81.001824567793719</v>
      </c>
      <c r="U15" s="13">
        <f>'Traffic_Reduced port VMT'!Q47</f>
        <v>-81.001824567793719</v>
      </c>
      <c r="V15" s="13">
        <f>'Traffic_Reduced port VMT'!R47</f>
        <v>-81.001824567793719</v>
      </c>
      <c r="W15" s="13">
        <f>'Traffic_Reduced port VMT'!S47</f>
        <v>-81.001824567793719</v>
      </c>
      <c r="X15" s="13">
        <f>'Traffic_Reduced port VMT'!T47</f>
        <v>-81.001824567793719</v>
      </c>
      <c r="Y15" s="13">
        <f>'Traffic_Reduced port VMT'!U47</f>
        <v>-81.001824567793719</v>
      </c>
      <c r="Z15" s="13">
        <f>'Traffic_Reduced port VMT'!V47</f>
        <v>-81.001824567793719</v>
      </c>
      <c r="AA15" s="13">
        <f>'Traffic_Reduced port VMT'!W47</f>
        <v>-81.001824567793719</v>
      </c>
      <c r="AB15" s="13">
        <f>'Traffic_Reduced port VMT'!X47</f>
        <v>-81.001824567793719</v>
      </c>
      <c r="AC15" s="13">
        <f>'Traffic_Reduced port VMT'!Y47</f>
        <v>-81.001824567793719</v>
      </c>
      <c r="AD15" s="13">
        <f>'Traffic_Reduced port VMT'!Z47</f>
        <v>-81.001824567793719</v>
      </c>
      <c r="AE15" s="13">
        <f>'Traffic_Reduced port VMT'!AA47</f>
        <v>-81.001824567793719</v>
      </c>
      <c r="AF15" s="13">
        <f>'Traffic_Reduced port VMT'!AB47</f>
        <v>-81.001824567793719</v>
      </c>
      <c r="AG15" s="13">
        <f>'Traffic_Reduced port VMT'!AC47</f>
        <v>-81.001824567793719</v>
      </c>
      <c r="AH15" s="13">
        <f>'Traffic_Reduced port VMT'!AD47</f>
        <v>-81.001824567793719</v>
      </c>
      <c r="AI15" s="13">
        <f>'Traffic_Reduced port VMT'!AE47</f>
        <v>-81.001824567793719</v>
      </c>
      <c r="AJ15" s="13">
        <f>'Traffic_Reduced port VMT'!AF47</f>
        <v>-81.001824567793719</v>
      </c>
      <c r="AK15" s="13">
        <f>'Traffic_Reduced port VMT'!AG47</f>
        <v>-81.001824567793719</v>
      </c>
      <c r="AL15" s="13">
        <f>'Traffic_Reduced port VMT'!AH47</f>
        <v>-81.001824567793719</v>
      </c>
      <c r="AM15" s="13">
        <f>'Traffic_Reduced port VMT'!AI47</f>
        <v>-81.001824567793719</v>
      </c>
      <c r="AN15" s="13">
        <f>'Traffic_Reduced port VMT'!AJ47</f>
        <v>-81.001824567793719</v>
      </c>
    </row>
    <row r="16" spans="1:46" s="12" customFormat="1" x14ac:dyDescent="0.25">
      <c r="A16" s="54" t="s">
        <v>72</v>
      </c>
      <c r="B16" s="54"/>
      <c r="C16" s="85">
        <f>SUM(C3:C14)</f>
        <v>34417243.075932182</v>
      </c>
      <c r="D16" s="85">
        <f>SUM(D3:D14)</f>
        <v>17168058.449662417</v>
      </c>
      <c r="E16" s="85">
        <f>SUM(E3:E14)</f>
        <v>62613189.880530931</v>
      </c>
      <c r="F16" s="16"/>
    </row>
    <row r="17" spans="1:46" ht="15.75" thickTop="1" x14ac:dyDescent="0.25">
      <c r="F17" s="16"/>
    </row>
    <row r="19" spans="1:46" x14ac:dyDescent="0.25">
      <c r="A19" s="8" t="s">
        <v>127</v>
      </c>
      <c r="B19" s="8" t="s">
        <v>104</v>
      </c>
      <c r="C19" s="8" t="s">
        <v>105</v>
      </c>
      <c r="D19" s="8" t="s">
        <v>106</v>
      </c>
      <c r="E19" s="8" t="s">
        <v>57</v>
      </c>
      <c r="F19" s="8">
        <v>2022</v>
      </c>
      <c r="G19" s="8">
        <v>2023</v>
      </c>
      <c r="H19" s="8">
        <v>2024</v>
      </c>
      <c r="I19" s="8">
        <v>2025</v>
      </c>
      <c r="J19" s="8">
        <v>2026</v>
      </c>
      <c r="K19" s="8">
        <v>2027</v>
      </c>
      <c r="L19" s="8">
        <v>2028</v>
      </c>
      <c r="M19" s="8">
        <v>2029</v>
      </c>
      <c r="N19" s="8">
        <v>2030</v>
      </c>
      <c r="O19" s="8">
        <v>2031</v>
      </c>
      <c r="P19" s="8">
        <v>2032</v>
      </c>
      <c r="Q19" s="8">
        <v>2033</v>
      </c>
      <c r="R19" s="8">
        <v>2034</v>
      </c>
      <c r="S19" s="8">
        <v>2035</v>
      </c>
      <c r="T19" s="8">
        <v>2036</v>
      </c>
      <c r="U19" s="8">
        <v>2037</v>
      </c>
      <c r="V19" s="8">
        <v>2038</v>
      </c>
      <c r="W19" s="8">
        <v>2039</v>
      </c>
      <c r="X19" s="8">
        <v>2040</v>
      </c>
      <c r="Y19" s="8">
        <v>2041</v>
      </c>
      <c r="Z19" s="8">
        <v>2042</v>
      </c>
      <c r="AA19" s="8">
        <v>2043</v>
      </c>
      <c r="AB19" s="8">
        <v>2044</v>
      </c>
      <c r="AC19" s="8">
        <v>2045</v>
      </c>
      <c r="AD19" s="8">
        <v>2046</v>
      </c>
      <c r="AE19" s="8">
        <v>2047</v>
      </c>
      <c r="AF19" s="8">
        <v>2048</v>
      </c>
      <c r="AG19" s="8">
        <v>2049</v>
      </c>
      <c r="AH19" s="8">
        <v>2050</v>
      </c>
      <c r="AI19" s="8">
        <v>2051</v>
      </c>
      <c r="AJ19" s="8">
        <v>2052</v>
      </c>
      <c r="AK19" s="8">
        <v>2053</v>
      </c>
      <c r="AL19" s="8">
        <v>2054</v>
      </c>
      <c r="AM19" s="8">
        <v>2055</v>
      </c>
      <c r="AN19" s="8">
        <v>2056</v>
      </c>
      <c r="AO19" s="12"/>
      <c r="AP19" s="12"/>
      <c r="AQ19" s="12"/>
      <c r="AR19" s="12"/>
      <c r="AS19" s="12"/>
    </row>
    <row r="20" spans="1:46" x14ac:dyDescent="0.25">
      <c r="A20" t="s">
        <v>128</v>
      </c>
      <c r="B20" t="s">
        <v>49</v>
      </c>
      <c r="C20" s="16">
        <f>NPV($C$1, F20:AN20)</f>
        <v>15012733.770318864</v>
      </c>
      <c r="D20" s="16">
        <f>NPV($D$1, F20:AN20)</f>
        <v>12806117.93806611</v>
      </c>
      <c r="E20" s="16">
        <f>SUM(F20:AN20)</f>
        <v>16992982.722078882</v>
      </c>
      <c r="F20" s="16">
        <f>'Updated Project Costs'!B24</f>
        <v>0</v>
      </c>
      <c r="G20" s="16">
        <f>'Updated Project Costs'!C24</f>
        <v>0</v>
      </c>
      <c r="H20" s="16">
        <f>'Updated Project Costs'!D24</f>
        <v>3398596.5444157766</v>
      </c>
      <c r="I20" s="16">
        <f>'Updated Project Costs'!E24</f>
        <v>6797193.0888315532</v>
      </c>
      <c r="J20" s="16">
        <f>'Updated Project Costs'!F24</f>
        <v>6797193.0888315532</v>
      </c>
      <c r="K20" s="16">
        <f>'Updated Project Costs'!G24</f>
        <v>0</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0</v>
      </c>
      <c r="AJ20">
        <v>0</v>
      </c>
      <c r="AK20">
        <v>0</v>
      </c>
      <c r="AL20">
        <v>0</v>
      </c>
      <c r="AM20">
        <v>0</v>
      </c>
      <c r="AN20">
        <v>0</v>
      </c>
    </row>
    <row r="21" spans="1:46" x14ac:dyDescent="0.25">
      <c r="A21" t="s">
        <v>129</v>
      </c>
      <c r="B21" t="s">
        <v>130</v>
      </c>
      <c r="C21" s="16">
        <f>NPV($C$1, F21:AN21)</f>
        <v>12177974.46143678</v>
      </c>
      <c r="D21" s="16">
        <f>NPV($D$1, F21:AN21)</f>
        <v>6396482.4778001085</v>
      </c>
      <c r="E21" s="16">
        <f>SUM(F21:AN21)</f>
        <v>21505477.521531094</v>
      </c>
      <c r="F21">
        <v>0</v>
      </c>
      <c r="G21">
        <v>0</v>
      </c>
      <c r="H21">
        <v>0</v>
      </c>
      <c r="I21" s="16">
        <f>'Air Quality'!D22</f>
        <v>0</v>
      </c>
      <c r="J21" s="2">
        <f>'Air Quality'!E22</f>
        <v>42727.860738340518</v>
      </c>
      <c r="K21" s="2">
        <f>'Air Quality'!F22</f>
        <v>692143.83714176365</v>
      </c>
      <c r="L21" s="2">
        <f>'Air Quality'!G22</f>
        <v>702364.22807119251</v>
      </c>
      <c r="M21" s="2">
        <f>'Air Quality'!H22</f>
        <v>715943.54069813387</v>
      </c>
      <c r="N21" s="2">
        <f>'Air Quality'!I22</f>
        <v>727494.49018268322</v>
      </c>
      <c r="O21" s="2">
        <f>'Air Quality'!J22</f>
        <v>727571.20337284217</v>
      </c>
      <c r="P21" s="2">
        <f>'Air Quality'!K22</f>
        <v>727647.91656300123</v>
      </c>
      <c r="Q21" s="2">
        <f>'Air Quality'!L22</f>
        <v>727724.62975316029</v>
      </c>
      <c r="R21" s="2">
        <f>'Air Quality'!M22</f>
        <v>727801.34294331935</v>
      </c>
      <c r="S21" s="2">
        <f>'Air Quality'!N22</f>
        <v>727878.0561334783</v>
      </c>
      <c r="T21" s="2">
        <f>'Air Quality'!O22</f>
        <v>728031.48251379631</v>
      </c>
      <c r="U21" s="2">
        <f>'Air Quality'!P22</f>
        <v>728108.19570395537</v>
      </c>
      <c r="V21" s="2">
        <f>'Air Quality'!Q22</f>
        <v>728184.90889411443</v>
      </c>
      <c r="W21" s="2">
        <f>'Air Quality'!R22</f>
        <v>728261.62208427349</v>
      </c>
      <c r="X21" s="2">
        <f>'Air Quality'!S22</f>
        <v>728338.33527443244</v>
      </c>
      <c r="Y21" s="2">
        <f>'Air Quality'!T22</f>
        <v>728491.76165475044</v>
      </c>
      <c r="Z21" s="2">
        <f>'Air Quality'!U22</f>
        <v>728568.47484490951</v>
      </c>
      <c r="AA21" s="2">
        <f>'Air Quality'!V22</f>
        <v>728645.18803506857</v>
      </c>
      <c r="AB21" s="2">
        <f>'Air Quality'!W22</f>
        <v>728721.90122522751</v>
      </c>
      <c r="AC21" s="2">
        <f>'Air Quality'!X22</f>
        <v>728798.61441538658</v>
      </c>
      <c r="AD21" s="2">
        <f>'Air Quality'!Y22</f>
        <v>728952.04079570458</v>
      </c>
      <c r="AE21" s="2">
        <f>'Air Quality'!Z22</f>
        <v>729028.75398586364</v>
      </c>
      <c r="AF21" s="2">
        <f>'Air Quality'!AA22</f>
        <v>729105.46717602271</v>
      </c>
      <c r="AG21" s="2">
        <f>'Air Quality'!AB22</f>
        <v>729182.18036618165</v>
      </c>
      <c r="AH21" s="2">
        <f>'Air Quality'!AC22</f>
        <v>729258.8935563406</v>
      </c>
      <c r="AI21" s="2">
        <f>'Air Quality'!AD22</f>
        <v>729258.8935563406</v>
      </c>
      <c r="AJ21" s="2">
        <f>'Air Quality'!AE22</f>
        <v>729258.8935563406</v>
      </c>
      <c r="AK21" s="2">
        <f>'Air Quality'!AF22</f>
        <v>729258.8935563406</v>
      </c>
      <c r="AL21" s="2">
        <f>'Air Quality'!AG22</f>
        <v>729258.8935563406</v>
      </c>
      <c r="AM21" s="2">
        <f>'Air Quality'!AH22</f>
        <v>729258.8935563406</v>
      </c>
      <c r="AN21" s="2">
        <f>'Air Quality'!AI22</f>
        <v>410208.12762544153</v>
      </c>
    </row>
    <row r="22" spans="1:46" s="12" customFormat="1" ht="15.75" thickBot="1" x14ac:dyDescent="0.3">
      <c r="A22" s="54" t="s">
        <v>72</v>
      </c>
      <c r="B22" s="54"/>
      <c r="C22" s="85">
        <f>SUM(C20:C21)</f>
        <v>27190708.231755644</v>
      </c>
      <c r="D22" s="85">
        <f t="shared" ref="D22:E22" si="10">SUM(D20:D21)</f>
        <v>19202600.415866219</v>
      </c>
      <c r="E22" s="85">
        <f t="shared" si="10"/>
        <v>38498460.24360998</v>
      </c>
    </row>
    <row r="23" spans="1:46" ht="15.75" thickTop="1" x14ac:dyDescent="0.25"/>
    <row r="27" spans="1:46" s="25" customFormat="1" x14ac:dyDescent="0.25">
      <c r="A27" s="25" t="s">
        <v>426</v>
      </c>
      <c r="B27" s="25" t="s">
        <v>109</v>
      </c>
      <c r="C27" s="26">
        <f>NPV($C$1, G27:AN27)</f>
        <v>113700009.28551863</v>
      </c>
      <c r="D27" s="26">
        <f>NPV($D$1, G27:AN27)</f>
        <v>59191079.922636069</v>
      </c>
      <c r="E27" s="26">
        <f>SUM(G27:AT27)</f>
        <v>201281547.58474568</v>
      </c>
      <c r="F27" s="26">
        <f>AVERAGE(J27:AN27)</f>
        <v>6492953.1478950214</v>
      </c>
      <c r="G27" s="120">
        <f>'Traffic_Reduced highway VMT'!F75</f>
        <v>0</v>
      </c>
      <c r="H27" s="120">
        <f>'Traffic_Reduced highway VMT'!G75</f>
        <v>0</v>
      </c>
      <c r="I27" s="120">
        <f>'Traffic_Reduced highway VMT'!H75</f>
        <v>0</v>
      </c>
      <c r="J27" s="120">
        <f>'Traffic_Reduced highway VMT'!I75</f>
        <v>0</v>
      </c>
      <c r="K27" s="120">
        <f>'Traffic_Reduced highway VMT'!J75</f>
        <v>1332990.381355932</v>
      </c>
      <c r="L27" s="120">
        <f>'Traffic_Reduced highway VMT'!K75</f>
        <v>3554641.0169491521</v>
      </c>
      <c r="M27" s="120">
        <f>'Traffic_Reduced highway VMT'!L75</f>
        <v>5331961.5254237279</v>
      </c>
      <c r="N27" s="120">
        <f>'Traffic_Reduced highway VMT'!M75</f>
        <v>6220621.7796610165</v>
      </c>
      <c r="O27" s="120">
        <f>'Traffic_Reduced highway VMT'!N75</f>
        <v>7109282.0338983042</v>
      </c>
      <c r="P27" s="120">
        <f>'Traffic_Reduced highway VMT'!O75</f>
        <v>7109282.0338983042</v>
      </c>
      <c r="Q27" s="120">
        <f>'Traffic_Reduced highway VMT'!P75</f>
        <v>7109282.0338983042</v>
      </c>
      <c r="R27" s="120">
        <f>'Traffic_Reduced highway VMT'!Q75</f>
        <v>7109282.0338983042</v>
      </c>
      <c r="S27" s="120">
        <f>'Traffic_Reduced highway VMT'!R75</f>
        <v>7109282.0338983042</v>
      </c>
      <c r="T27" s="120">
        <f>'Traffic_Reduced highway VMT'!S75</f>
        <v>7109282.0338983042</v>
      </c>
      <c r="U27" s="120">
        <f>'Traffic_Reduced highway VMT'!T75</f>
        <v>7109282.0338983042</v>
      </c>
      <c r="V27" s="120">
        <f>'Traffic_Reduced highway VMT'!U75</f>
        <v>7109282.0338983042</v>
      </c>
      <c r="W27" s="120">
        <f>'Traffic_Reduced highway VMT'!V75</f>
        <v>7109282.0338983042</v>
      </c>
      <c r="X27" s="120">
        <f>'Traffic_Reduced highway VMT'!W75</f>
        <v>7109282.0338983042</v>
      </c>
      <c r="Y27" s="120">
        <f>'Traffic_Reduced highway VMT'!X75</f>
        <v>7109282.0338983042</v>
      </c>
      <c r="Z27" s="120">
        <f>'Traffic_Reduced highway VMT'!Y75</f>
        <v>7109282.0338983042</v>
      </c>
      <c r="AA27" s="120">
        <f>'Traffic_Reduced highway VMT'!Z75</f>
        <v>7109282.0338983042</v>
      </c>
      <c r="AB27" s="120">
        <f>'Traffic_Reduced highway VMT'!AA75</f>
        <v>7109282.0338983042</v>
      </c>
      <c r="AC27" s="120">
        <f>'Traffic_Reduced highway VMT'!AB75</f>
        <v>7109282.0338983042</v>
      </c>
      <c r="AD27" s="120">
        <f>'Traffic_Reduced highway VMT'!AC75</f>
        <v>7109282.0338983042</v>
      </c>
      <c r="AE27" s="120">
        <f>'Traffic_Reduced highway VMT'!AD75</f>
        <v>7109282.0338983042</v>
      </c>
      <c r="AF27" s="120">
        <f>'Traffic_Reduced highway VMT'!AE75</f>
        <v>7109282.0338983042</v>
      </c>
      <c r="AG27" s="120">
        <f>'Traffic_Reduced highway VMT'!AF75</f>
        <v>7109282.0338983042</v>
      </c>
      <c r="AH27" s="120">
        <f>'Traffic_Reduced highway VMT'!AG75</f>
        <v>7109282.0338983042</v>
      </c>
      <c r="AI27" s="120">
        <f>'Traffic_Reduced highway VMT'!AH75</f>
        <v>7109282.0338983042</v>
      </c>
      <c r="AJ27" s="120">
        <f>'Traffic_Reduced highway VMT'!AI75</f>
        <v>7109282.0338983042</v>
      </c>
      <c r="AK27" s="120">
        <f>'Traffic_Reduced highway VMT'!AJ75</f>
        <v>7109282.0338983042</v>
      </c>
      <c r="AL27" s="120">
        <f>'Traffic_Reduced highway VMT'!AK75</f>
        <v>7109282.0338983042</v>
      </c>
      <c r="AM27" s="120">
        <f>'Traffic_Reduced highway VMT'!AL75</f>
        <v>7109282.0338983042</v>
      </c>
      <c r="AN27" s="120">
        <f>'Traffic_Reduced highway VMT'!AM75</f>
        <v>7109282.0338983042</v>
      </c>
      <c r="AO27" s="121"/>
      <c r="AP27" s="121"/>
      <c r="AQ27" s="121"/>
      <c r="AR27" s="121"/>
      <c r="AS27" s="121"/>
      <c r="AT27" s="121"/>
    </row>
    <row r="29" spans="1:46" x14ac:dyDescent="0.25">
      <c r="A29" s="49"/>
    </row>
    <row r="30" spans="1:46" x14ac:dyDescent="0.25">
      <c r="A30" s="48"/>
    </row>
    <row r="31" spans="1:46" x14ac:dyDescent="0.25">
      <c r="A31" s="48"/>
    </row>
  </sheetData>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EFA50A-5E08-4DB6-8AD3-1B690649EBE1}">
  <sheetPr>
    <tabColor rgb="FF7030A0"/>
  </sheetPr>
  <dimension ref="A2:M24"/>
  <sheetViews>
    <sheetView topLeftCell="A7" workbookViewId="0">
      <selection activeCell="F23" sqref="F23"/>
    </sheetView>
  </sheetViews>
  <sheetFormatPr defaultRowHeight="15" x14ac:dyDescent="0.25"/>
  <cols>
    <col min="1" max="1" width="10.42578125" style="3" customWidth="1"/>
    <col min="2" max="2" width="14.5703125" style="3" customWidth="1"/>
    <col min="3" max="3" width="14.28515625" customWidth="1"/>
    <col min="4" max="4" width="11" customWidth="1"/>
    <col min="5" max="5" width="16.5703125" customWidth="1"/>
    <col min="6" max="6" width="17.5703125" customWidth="1"/>
    <col min="7" max="7" width="15.28515625" customWidth="1"/>
    <col min="8" max="8" width="14" customWidth="1"/>
  </cols>
  <sheetData>
    <row r="2" spans="1:13" x14ac:dyDescent="0.25">
      <c r="D2" t="s">
        <v>427</v>
      </c>
      <c r="E2" s="11">
        <v>850000</v>
      </c>
      <c r="F2" t="s">
        <v>428</v>
      </c>
      <c r="G2" t="s">
        <v>429</v>
      </c>
    </row>
    <row r="3" spans="1:13" x14ac:dyDescent="0.25">
      <c r="E3" s="11">
        <f>+E2/1.8</f>
        <v>472222.22222222219</v>
      </c>
      <c r="F3" t="s">
        <v>430</v>
      </c>
    </row>
    <row r="4" spans="1:13" x14ac:dyDescent="0.25">
      <c r="E4" s="11"/>
    </row>
    <row r="5" spans="1:13" s="154" customFormat="1" ht="72" customHeight="1" x14ac:dyDescent="0.25">
      <c r="A5" s="152"/>
      <c r="B5" s="152" t="s">
        <v>431</v>
      </c>
      <c r="C5" s="152" t="s">
        <v>432</v>
      </c>
      <c r="D5" s="152" t="s">
        <v>433</v>
      </c>
      <c r="E5" s="152" t="s">
        <v>434</v>
      </c>
      <c r="F5" s="152" t="s">
        <v>435</v>
      </c>
      <c r="G5" s="152" t="s">
        <v>436</v>
      </c>
      <c r="H5" s="153" t="s">
        <v>437</v>
      </c>
      <c r="L5" s="154" t="s">
        <v>161</v>
      </c>
    </row>
    <row r="6" spans="1:13" ht="18.75" x14ac:dyDescent="0.3">
      <c r="A6" s="155">
        <v>2018</v>
      </c>
      <c r="B6" s="156"/>
      <c r="C6" s="157">
        <v>340060</v>
      </c>
      <c r="D6" s="157"/>
      <c r="E6" s="157">
        <f>+E3</f>
        <v>472222.22222222219</v>
      </c>
      <c r="F6" s="158">
        <f>+E6-C6</f>
        <v>132162.22222222219</v>
      </c>
      <c r="G6" s="158"/>
      <c r="H6" s="159"/>
    </row>
    <row r="7" spans="1:13" ht="18.75" x14ac:dyDescent="0.3">
      <c r="A7" s="155">
        <v>2019</v>
      </c>
      <c r="B7" s="156"/>
      <c r="C7" s="157">
        <v>343867</v>
      </c>
      <c r="D7" s="160">
        <f>+(C7-C6)/C6</f>
        <v>1.1195083220608129E-2</v>
      </c>
      <c r="E7" s="157">
        <f>+E6</f>
        <v>472222.22222222219</v>
      </c>
      <c r="F7" s="158">
        <f t="shared" ref="F7:F15" si="0">+E7-C7</f>
        <v>128355.22222222219</v>
      </c>
      <c r="G7" s="161"/>
      <c r="H7" s="159"/>
      <c r="M7" t="s">
        <v>161</v>
      </c>
    </row>
    <row r="8" spans="1:13" ht="18.75" x14ac:dyDescent="0.3">
      <c r="A8" s="155">
        <f>1+A7</f>
        <v>2020</v>
      </c>
      <c r="B8" s="156"/>
      <c r="C8" s="157">
        <v>360660</v>
      </c>
      <c r="D8" s="160">
        <f t="shared" ref="D8:D10" si="1">+(C8-C7)/C7</f>
        <v>4.883574172572535E-2</v>
      </c>
      <c r="E8" s="157">
        <f t="shared" ref="E8:E11" si="2">+E7</f>
        <v>472222.22222222219</v>
      </c>
      <c r="F8" s="158">
        <f t="shared" si="0"/>
        <v>111562.22222222219</v>
      </c>
      <c r="G8" s="161"/>
      <c r="H8" s="159"/>
    </row>
    <row r="9" spans="1:13" ht="18.75" x14ac:dyDescent="0.3">
      <c r="A9" s="155">
        <f t="shared" ref="A9:A10" si="3">1+A8</f>
        <v>2021</v>
      </c>
      <c r="B9" s="156"/>
      <c r="C9" s="157">
        <v>406344</v>
      </c>
      <c r="D9" s="160">
        <f t="shared" si="1"/>
        <v>0.12666777574446847</v>
      </c>
      <c r="E9" s="157">
        <f t="shared" si="2"/>
        <v>472222.22222222219</v>
      </c>
      <c r="F9" s="158">
        <f t="shared" si="0"/>
        <v>65878.22222222219</v>
      </c>
      <c r="G9" s="161"/>
      <c r="H9" s="159"/>
    </row>
    <row r="10" spans="1:13" ht="18.75" x14ac:dyDescent="0.3">
      <c r="A10" s="155">
        <f t="shared" si="3"/>
        <v>2022</v>
      </c>
      <c r="B10" s="156"/>
      <c r="C10" s="157">
        <v>417605</v>
      </c>
      <c r="D10" s="160">
        <f t="shared" si="1"/>
        <v>2.7712972259957079E-2</v>
      </c>
      <c r="E10" s="157">
        <f t="shared" si="2"/>
        <v>472222.22222222219</v>
      </c>
      <c r="F10" s="158">
        <f t="shared" si="0"/>
        <v>54617.22222222219</v>
      </c>
      <c r="G10" s="161"/>
      <c r="H10" s="159"/>
      <c r="K10" t="s">
        <v>161</v>
      </c>
    </row>
    <row r="11" spans="1:13" ht="18.75" x14ac:dyDescent="0.3">
      <c r="A11" s="155">
        <f>1+A10</f>
        <v>2023</v>
      </c>
      <c r="B11" s="156"/>
      <c r="C11" s="157">
        <f>+C10+(D11*C10)</f>
        <v>438485.25</v>
      </c>
      <c r="D11" s="160">
        <v>0.05</v>
      </c>
      <c r="E11" s="157">
        <f t="shared" si="2"/>
        <v>472222.22222222219</v>
      </c>
      <c r="F11" s="158">
        <f t="shared" si="0"/>
        <v>33736.97222222219</v>
      </c>
      <c r="G11" s="161"/>
      <c r="H11" s="159"/>
      <c r="I11" s="162" t="s">
        <v>438</v>
      </c>
    </row>
    <row r="12" spans="1:13" ht="18.75" x14ac:dyDescent="0.3">
      <c r="A12" s="155">
        <f t="shared" ref="A12:B19" si="4">1+A11</f>
        <v>2024</v>
      </c>
      <c r="B12" s="156"/>
      <c r="C12" s="157">
        <f t="shared" ref="C12:C19" si="5">+C11+(D12*C11)</f>
        <v>460409.51250000001</v>
      </c>
      <c r="D12" s="160">
        <v>0.05</v>
      </c>
      <c r="E12" s="157">
        <f>45617+E11</f>
        <v>517839.22222222219</v>
      </c>
      <c r="F12" s="158">
        <f t="shared" si="0"/>
        <v>57429.709722222178</v>
      </c>
      <c r="G12" s="161"/>
      <c r="H12" s="159"/>
    </row>
    <row r="13" spans="1:13" ht="18.75" x14ac:dyDescent="0.3">
      <c r="A13" s="155">
        <f t="shared" si="4"/>
        <v>2025</v>
      </c>
      <c r="B13" s="156"/>
      <c r="C13" s="157">
        <f t="shared" si="5"/>
        <v>483429.98812500003</v>
      </c>
      <c r="D13" s="160">
        <v>0.05</v>
      </c>
      <c r="E13" s="157">
        <f>+E12</f>
        <v>517839.22222222219</v>
      </c>
      <c r="F13" s="158">
        <f t="shared" si="0"/>
        <v>34409.234097222157</v>
      </c>
      <c r="G13" s="161"/>
      <c r="H13" s="159"/>
    </row>
    <row r="14" spans="1:13" ht="18.75" x14ac:dyDescent="0.3">
      <c r="A14" s="155">
        <f t="shared" si="4"/>
        <v>2026</v>
      </c>
      <c r="B14" s="155">
        <v>1</v>
      </c>
      <c r="C14" s="157">
        <f t="shared" si="5"/>
        <v>507601.48753125005</v>
      </c>
      <c r="D14" s="160">
        <v>0.05</v>
      </c>
      <c r="E14" s="157">
        <f t="shared" ref="E14:E19" si="6">+E13</f>
        <v>517839.22222222219</v>
      </c>
      <c r="F14" s="158">
        <f t="shared" si="0"/>
        <v>10237.734690972138</v>
      </c>
      <c r="G14" s="161">
        <v>0</v>
      </c>
      <c r="H14" s="163">
        <f>+F14*-G14</f>
        <v>0</v>
      </c>
      <c r="I14" t="s">
        <v>439</v>
      </c>
    </row>
    <row r="15" spans="1:13" ht="18.75" x14ac:dyDescent="0.3">
      <c r="A15" s="155">
        <f t="shared" si="4"/>
        <v>2027</v>
      </c>
      <c r="B15" s="155">
        <f>1+B14</f>
        <v>2</v>
      </c>
      <c r="C15" s="157">
        <f t="shared" si="5"/>
        <v>532981.5619078126</v>
      </c>
      <c r="D15" s="160">
        <v>0.05</v>
      </c>
      <c r="E15" s="157">
        <f t="shared" si="6"/>
        <v>517839.22222222219</v>
      </c>
      <c r="F15" s="158">
        <f t="shared" si="0"/>
        <v>-15142.339685590414</v>
      </c>
      <c r="G15" s="164">
        <v>0.15</v>
      </c>
      <c r="H15" s="163">
        <f t="shared" ref="H15:H18" si="7">+F15*-G15</f>
        <v>2271.3509528385621</v>
      </c>
      <c r="J15" s="164"/>
    </row>
    <row r="16" spans="1:13" ht="18.75" x14ac:dyDescent="0.3">
      <c r="A16" s="155">
        <f t="shared" si="4"/>
        <v>2028</v>
      </c>
      <c r="B16" s="155">
        <f>1+B15</f>
        <v>3</v>
      </c>
      <c r="C16" s="157">
        <f t="shared" si="5"/>
        <v>559630.64000320318</v>
      </c>
      <c r="D16" s="160">
        <v>0.05</v>
      </c>
      <c r="E16" s="157">
        <f t="shared" si="6"/>
        <v>517839.22222222219</v>
      </c>
      <c r="F16" s="158">
        <v>-30000</v>
      </c>
      <c r="G16" s="164">
        <v>0.4</v>
      </c>
      <c r="H16" s="163">
        <f>+F16*-G16</f>
        <v>12000</v>
      </c>
      <c r="J16" s="164"/>
    </row>
    <row r="17" spans="1:12" ht="18.75" x14ac:dyDescent="0.3">
      <c r="A17" s="155">
        <f t="shared" si="4"/>
        <v>2029</v>
      </c>
      <c r="B17" s="155">
        <f t="shared" si="4"/>
        <v>4</v>
      </c>
      <c r="C17" s="157">
        <f t="shared" si="5"/>
        <v>587612.17200336338</v>
      </c>
      <c r="D17" s="160">
        <v>0.05</v>
      </c>
      <c r="E17" s="157">
        <f t="shared" si="6"/>
        <v>517839.22222222219</v>
      </c>
      <c r="F17" s="158">
        <v>-30000</v>
      </c>
      <c r="G17" s="164">
        <v>0.6</v>
      </c>
      <c r="H17" s="163">
        <f t="shared" si="7"/>
        <v>18000</v>
      </c>
      <c r="J17" s="164"/>
      <c r="L17" t="s">
        <v>161</v>
      </c>
    </row>
    <row r="18" spans="1:12" ht="18.75" x14ac:dyDescent="0.3">
      <c r="A18" s="155">
        <f t="shared" si="4"/>
        <v>2030</v>
      </c>
      <c r="B18" s="155">
        <f t="shared" si="4"/>
        <v>5</v>
      </c>
      <c r="C18" s="157">
        <f t="shared" si="5"/>
        <v>616992.78060353152</v>
      </c>
      <c r="D18" s="160">
        <v>0.05</v>
      </c>
      <c r="E18" s="157">
        <f t="shared" si="6"/>
        <v>517839.22222222219</v>
      </c>
      <c r="F18" s="158">
        <v>-30000</v>
      </c>
      <c r="G18" s="164">
        <v>0.7</v>
      </c>
      <c r="H18" s="163">
        <f t="shared" si="7"/>
        <v>21000</v>
      </c>
      <c r="J18" s="164"/>
      <c r="L18" t="s">
        <v>161</v>
      </c>
    </row>
    <row r="19" spans="1:12" ht="18.75" x14ac:dyDescent="0.3">
      <c r="A19" s="155">
        <f t="shared" si="4"/>
        <v>2031</v>
      </c>
      <c r="B19" s="155">
        <f t="shared" si="4"/>
        <v>6</v>
      </c>
      <c r="C19" s="157">
        <f t="shared" si="5"/>
        <v>647842.41963370808</v>
      </c>
      <c r="D19" s="160">
        <v>0.05</v>
      </c>
      <c r="E19" s="157">
        <f t="shared" si="6"/>
        <v>517839.22222222219</v>
      </c>
      <c r="F19" s="158">
        <v>-30000</v>
      </c>
      <c r="G19" s="164">
        <v>0.8</v>
      </c>
      <c r="H19" s="163">
        <f>+F19*-G19</f>
        <v>24000</v>
      </c>
      <c r="J19" s="164"/>
    </row>
    <row r="20" spans="1:12" x14ac:dyDescent="0.25">
      <c r="J20" s="22"/>
    </row>
    <row r="22" spans="1:12" x14ac:dyDescent="0.25">
      <c r="G22" t="s">
        <v>161</v>
      </c>
      <c r="H22" t="s">
        <v>161</v>
      </c>
    </row>
    <row r="23" spans="1:12" x14ac:dyDescent="0.25">
      <c r="F23" t="s">
        <v>161</v>
      </c>
    </row>
    <row r="24" spans="1:12" x14ac:dyDescent="0.25">
      <c r="F24" t="s">
        <v>161</v>
      </c>
    </row>
  </sheetData>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85321-6A5B-4356-9B4A-F4827C844D65}">
  <sheetPr>
    <tabColor theme="0" tint="-0.499984740745262"/>
  </sheetPr>
  <dimension ref="A1:F20"/>
  <sheetViews>
    <sheetView topLeftCell="A13" workbookViewId="0">
      <selection activeCell="E38" sqref="E38"/>
    </sheetView>
  </sheetViews>
  <sheetFormatPr defaultRowHeight="15" x14ac:dyDescent="0.25"/>
  <cols>
    <col min="1" max="1" width="50.5703125" customWidth="1"/>
    <col min="2" max="2" width="25.7109375" customWidth="1"/>
    <col min="3" max="3" width="21.5703125" bestFit="1" customWidth="1"/>
    <col min="4" max="4" width="26.42578125" bestFit="1" customWidth="1"/>
    <col min="6" max="6" width="11.5703125" bestFit="1" customWidth="1"/>
  </cols>
  <sheetData>
    <row r="1" spans="1:6" x14ac:dyDescent="0.25">
      <c r="A1" t="s">
        <v>440</v>
      </c>
    </row>
    <row r="2" spans="1:6" x14ac:dyDescent="0.25">
      <c r="A2" t="s">
        <v>441</v>
      </c>
      <c r="C2" t="s">
        <v>442</v>
      </c>
      <c r="D2" s="18">
        <f>60/52.1428571</f>
        <v>1.1506849324526178</v>
      </c>
    </row>
    <row r="3" spans="1:6" x14ac:dyDescent="0.25">
      <c r="A3" t="s">
        <v>443</v>
      </c>
    </row>
    <row r="6" spans="1:6" x14ac:dyDescent="0.25">
      <c r="A6" s="1" t="s">
        <v>444</v>
      </c>
      <c r="B6" s="1" t="s">
        <v>445</v>
      </c>
      <c r="C6" s="1" t="s">
        <v>446</v>
      </c>
      <c r="D6" s="24" t="s">
        <v>447</v>
      </c>
      <c r="E6" s="25"/>
    </row>
    <row r="7" spans="1:6" x14ac:dyDescent="0.25">
      <c r="A7" s="1">
        <v>1</v>
      </c>
      <c r="B7" s="1" t="s">
        <v>448</v>
      </c>
      <c r="C7" s="14">
        <v>460000</v>
      </c>
      <c r="D7" s="26">
        <f>(C7*$E$14)+C7</f>
        <v>788589.05579399143</v>
      </c>
      <c r="E7" s="25"/>
    </row>
    <row r="8" spans="1:6" x14ac:dyDescent="0.25">
      <c r="A8" s="1">
        <v>2</v>
      </c>
      <c r="B8" s="1" t="s">
        <v>449</v>
      </c>
      <c r="C8" s="14">
        <v>1630000</v>
      </c>
      <c r="D8" s="26">
        <f t="shared" ref="D8:D13" si="0">(C8*$E$14)+C8</f>
        <v>2794348.1759656654</v>
      </c>
      <c r="E8" s="25"/>
    </row>
    <row r="9" spans="1:6" x14ac:dyDescent="0.25">
      <c r="A9" s="1">
        <v>3</v>
      </c>
      <c r="B9" s="1" t="s">
        <v>450</v>
      </c>
      <c r="C9" s="14">
        <v>6775000</v>
      </c>
      <c r="D9" s="26">
        <f t="shared" si="0"/>
        <v>11614545.332618026</v>
      </c>
      <c r="E9" s="25"/>
    </row>
    <row r="10" spans="1:6" x14ac:dyDescent="0.25">
      <c r="A10" s="1">
        <v>4</v>
      </c>
      <c r="B10" s="1" t="s">
        <v>451</v>
      </c>
      <c r="C10" s="14">
        <v>2346000</v>
      </c>
      <c r="D10" s="26">
        <f t="shared" si="0"/>
        <v>4021804.1845493563</v>
      </c>
      <c r="E10" s="25"/>
    </row>
    <row r="11" spans="1:6" x14ac:dyDescent="0.25">
      <c r="A11" s="1">
        <v>5</v>
      </c>
      <c r="B11" s="1" t="s">
        <v>452</v>
      </c>
      <c r="C11" s="14">
        <v>202000</v>
      </c>
      <c r="D11" s="26">
        <f t="shared" si="0"/>
        <v>346293.45493562229</v>
      </c>
      <c r="E11" s="25"/>
    </row>
    <row r="12" spans="1:6" x14ac:dyDescent="0.25">
      <c r="A12" s="1">
        <v>6</v>
      </c>
      <c r="B12" s="1" t="s">
        <v>453</v>
      </c>
      <c r="C12" s="14">
        <v>75000</v>
      </c>
      <c r="D12" s="26">
        <f t="shared" si="0"/>
        <v>128574.3025751073</v>
      </c>
      <c r="E12" s="25"/>
    </row>
    <row r="13" spans="1:6" x14ac:dyDescent="0.25">
      <c r="A13" s="1">
        <v>7</v>
      </c>
      <c r="B13" s="1" t="s">
        <v>454</v>
      </c>
      <c r="C13" s="14">
        <v>3424000</v>
      </c>
      <c r="D13" s="26">
        <f t="shared" si="0"/>
        <v>5869845.4935622318</v>
      </c>
      <c r="E13" s="25"/>
    </row>
    <row r="14" spans="1:6" x14ac:dyDescent="0.25">
      <c r="A14" s="1" t="s">
        <v>72</v>
      </c>
      <c r="B14" s="1"/>
      <c r="C14" s="14">
        <f>SUM(C7:C13)</f>
        <v>14912000</v>
      </c>
      <c r="D14" s="26">
        <v>25564000</v>
      </c>
      <c r="E14" s="27">
        <f>(D14-C14)/C14</f>
        <v>0.71432403433476399</v>
      </c>
      <c r="F14" s="16"/>
    </row>
    <row r="15" spans="1:6" x14ac:dyDescent="0.25">
      <c r="D15" s="13"/>
    </row>
    <row r="16" spans="1:6" x14ac:dyDescent="0.25">
      <c r="A16" t="s">
        <v>455</v>
      </c>
    </row>
    <row r="17" spans="1:6" x14ac:dyDescent="0.25">
      <c r="A17" t="s">
        <v>456</v>
      </c>
    </row>
    <row r="19" spans="1:6" x14ac:dyDescent="0.25">
      <c r="A19" s="1">
        <v>8</v>
      </c>
      <c r="B19" s="1" t="s">
        <v>457</v>
      </c>
      <c r="C19" s="14">
        <f>C14*E19</f>
        <v>4473600</v>
      </c>
      <c r="D19" t="s">
        <v>458</v>
      </c>
      <c r="E19" s="55">
        <v>0.3</v>
      </c>
      <c r="F19" s="16"/>
    </row>
    <row r="20" spans="1:6" x14ac:dyDescent="0.25">
      <c r="A20" s="10" t="s">
        <v>459</v>
      </c>
      <c r="B20" s="10"/>
      <c r="C20" s="34">
        <f>C19+C14</f>
        <v>19385600</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97AD6F-0730-497F-831D-9EB0ABB1BAA4}">
  <sheetPr>
    <tabColor theme="7" tint="-0.249977111117893"/>
  </sheetPr>
  <dimension ref="A1:E86"/>
  <sheetViews>
    <sheetView tabSelected="1" topLeftCell="A9" zoomScale="81" workbookViewId="0">
      <selection activeCell="D34" sqref="D34"/>
    </sheetView>
  </sheetViews>
  <sheetFormatPr defaultColWidth="8.7109375" defaultRowHeight="15" x14ac:dyDescent="0.25"/>
  <cols>
    <col min="1" max="1" width="29.42578125" bestFit="1" customWidth="1"/>
    <col min="2" max="4" width="24" customWidth="1"/>
    <col min="5" max="5" width="17.28515625" bestFit="1" customWidth="1"/>
  </cols>
  <sheetData>
    <row r="1" spans="1:4" hidden="1" x14ac:dyDescent="0.25">
      <c r="A1" s="129" t="s">
        <v>55</v>
      </c>
      <c r="B1" s="123"/>
      <c r="C1" s="123"/>
      <c r="D1" s="123"/>
    </row>
    <row r="2" spans="1:4" ht="15.75" hidden="1" thickBot="1" x14ac:dyDescent="0.3">
      <c r="A2" s="130"/>
      <c r="B2" s="123"/>
      <c r="C2" s="123"/>
      <c r="D2" s="123"/>
    </row>
    <row r="3" spans="1:4" ht="15.75" hidden="1" thickBot="1" x14ac:dyDescent="0.3">
      <c r="A3" s="131" t="s">
        <v>56</v>
      </c>
      <c r="B3" s="132" t="s">
        <v>57</v>
      </c>
      <c r="C3" s="133" t="s">
        <v>58</v>
      </c>
      <c r="D3" s="133" t="s">
        <v>59</v>
      </c>
    </row>
    <row r="4" spans="1:4" ht="15.75" hidden="1" thickBot="1" x14ac:dyDescent="0.3">
      <c r="A4" s="134" t="s">
        <v>60</v>
      </c>
      <c r="B4" s="135">
        <f>ROUND('30yr Horizon_shipping'!E16,-3)</f>
        <v>62613000</v>
      </c>
      <c r="C4" s="135">
        <f>ROUND('30yr Horizon_shipping'!C16,-3)</f>
        <v>34417000</v>
      </c>
      <c r="D4" s="135">
        <f>ROUND('30yr Horizon_shipping'!D16,-3)</f>
        <v>17168000</v>
      </c>
    </row>
    <row r="5" spans="1:4" ht="15.75" hidden="1" thickBot="1" x14ac:dyDescent="0.3">
      <c r="A5" s="134" t="s">
        <v>61</v>
      </c>
      <c r="B5" s="135">
        <f>ROUND('30yr Horizon_shipping'!E22,-3)</f>
        <v>38498000</v>
      </c>
      <c r="C5" s="135">
        <f>ROUND('30yr Horizon_shipping'!C22,-3)</f>
        <v>27191000</v>
      </c>
      <c r="D5" s="135">
        <f>ROUND('30yr Horizon_shipping'!D22,-3)</f>
        <v>19203000</v>
      </c>
    </row>
    <row r="6" spans="1:4" ht="15.75" hidden="1" thickBot="1" x14ac:dyDescent="0.3">
      <c r="A6" s="134" t="s">
        <v>62</v>
      </c>
      <c r="B6" s="135">
        <f>B4-B5</f>
        <v>24115000</v>
      </c>
      <c r="C6" s="135">
        <f t="shared" ref="C6:D6" si="0">C4-C5</f>
        <v>7226000</v>
      </c>
      <c r="D6" s="135">
        <f t="shared" si="0"/>
        <v>-2035000</v>
      </c>
    </row>
    <row r="7" spans="1:4" ht="15.75" hidden="1" thickBot="1" x14ac:dyDescent="0.3">
      <c r="A7" s="134" t="s">
        <v>63</v>
      </c>
      <c r="B7" s="136">
        <f>B4/B5</f>
        <v>1.6263961764247494</v>
      </c>
      <c r="C7" s="136">
        <f t="shared" ref="C7:D7" si="1">C4/C5</f>
        <v>1.2657496965907837</v>
      </c>
      <c r="D7" s="165">
        <f t="shared" si="1"/>
        <v>0.89402697495183048</v>
      </c>
    </row>
    <row r="8" spans="1:4" hidden="1" x14ac:dyDescent="0.25"/>
    <row r="10" spans="1:4" x14ac:dyDescent="0.25">
      <c r="A10" s="12" t="s">
        <v>55</v>
      </c>
    </row>
    <row r="12" spans="1:4" x14ac:dyDescent="0.25">
      <c r="A12" s="86" t="s">
        <v>56</v>
      </c>
      <c r="B12" s="87" t="s">
        <v>57</v>
      </c>
      <c r="C12" s="88" t="s">
        <v>58</v>
      </c>
      <c r="D12" s="88" t="s">
        <v>59</v>
      </c>
    </row>
    <row r="13" spans="1:4" x14ac:dyDescent="0.25">
      <c r="A13" s="89" t="s">
        <v>60</v>
      </c>
      <c r="B13" s="90">
        <f>ROUND('30yr Horizon_noshipping'!E19,-3)</f>
        <v>160139000</v>
      </c>
      <c r="C13" s="90">
        <f>ROUND('30yr Horizon_noshipping'!C19,-3)</f>
        <v>84880000</v>
      </c>
      <c r="D13" s="90">
        <f>ROUND('30yr Horizon_noshipping'!D19,-3)</f>
        <v>40948000</v>
      </c>
    </row>
    <row r="14" spans="1:4" x14ac:dyDescent="0.25">
      <c r="A14" s="89" t="s">
        <v>61</v>
      </c>
      <c r="B14" s="90">
        <f>ROUND('30yr Horizon_noshipping'!E25,-3)</f>
        <v>44751000</v>
      </c>
      <c r="C14" s="90">
        <f>ROUND('30yr Horizon_noshipping'!C25,-3)</f>
        <v>31920000</v>
      </c>
      <c r="D14" s="90">
        <f>ROUND('30yr Horizon_noshipping'!D25,-3)</f>
        <v>22743000</v>
      </c>
    </row>
    <row r="15" spans="1:4" x14ac:dyDescent="0.25">
      <c r="A15" s="89" t="s">
        <v>62</v>
      </c>
      <c r="B15" s="90">
        <f>B13-B14</f>
        <v>115388000</v>
      </c>
      <c r="C15" s="90">
        <f t="shared" ref="C15:D15" si="2">C13-C14</f>
        <v>52960000</v>
      </c>
      <c r="D15" s="90">
        <f t="shared" si="2"/>
        <v>18205000</v>
      </c>
    </row>
    <row r="16" spans="1:4" x14ac:dyDescent="0.25">
      <c r="A16" s="89" t="s">
        <v>63</v>
      </c>
      <c r="B16" s="91">
        <f>B13/B14</f>
        <v>3.5784451744095103</v>
      </c>
      <c r="C16" s="91">
        <f t="shared" ref="C16" si="3">C13/C14</f>
        <v>2.6591478696741855</v>
      </c>
      <c r="D16" s="91">
        <f>D13/D14</f>
        <v>1.8004660774743877</v>
      </c>
    </row>
    <row r="19" spans="1:5" ht="15.75" thickBot="1" x14ac:dyDescent="0.3"/>
    <row r="20" spans="1:5" ht="15.75" thickBot="1" x14ac:dyDescent="0.3">
      <c r="A20" s="86" t="s">
        <v>64</v>
      </c>
      <c r="B20" s="86" t="s">
        <v>65</v>
      </c>
      <c r="C20" s="86" t="s">
        <v>66</v>
      </c>
      <c r="D20" s="86" t="s">
        <v>67</v>
      </c>
      <c r="E20" s="86" t="s">
        <v>68</v>
      </c>
    </row>
    <row r="21" spans="1:5" ht="15.75" thickBot="1" x14ac:dyDescent="0.3">
      <c r="A21" s="89" t="s">
        <v>69</v>
      </c>
      <c r="B21" s="90">
        <f>'30yr Horizon_noshipping'!F4+'30yr Horizon_noshipping'!F14</f>
        <v>388500.35442278639</v>
      </c>
      <c r="C21" s="90">
        <f>'30yr Horizon_noshipping'!E4+'30yr Horizon_noshipping'!E14</f>
        <v>12382314.789512325</v>
      </c>
      <c r="D21" s="90">
        <f>'30yr Horizon_noshipping'!C4+'30yr Horizon_noshipping'!C14</f>
        <v>6745740.6006748378</v>
      </c>
      <c r="E21" s="90">
        <f>'30yr Horizon_noshipping'!D4+'30yr Horizon_noshipping'!D14</f>
        <v>3339609.0605771001</v>
      </c>
    </row>
    <row r="22" spans="1:5" ht="15.75" thickBot="1" x14ac:dyDescent="0.3">
      <c r="A22" s="89" t="s">
        <v>70</v>
      </c>
      <c r="B22" s="90">
        <f>'30yr Horizon_noshipping'!F5+'30yr Horizon_noshipping'!F15</f>
        <v>673182.58937326202</v>
      </c>
      <c r="C22" s="90">
        <f>'30yr Horizon_noshipping'!E5+'30yr Horizon_noshipping'!E15</f>
        <v>21455730.05930274</v>
      </c>
      <c r="D22" s="90">
        <f>'30yr Horizon_noshipping'!C5+'30yr Horizon_noshipping'!C15</f>
        <v>11688831.356536558</v>
      </c>
      <c r="E22" s="90">
        <f>'30yr Horizon_noshipping'!D5+'30yr Horizon_noshipping'!D15</f>
        <v>5786781.5287682507</v>
      </c>
    </row>
    <row r="23" spans="1:5" ht="15.75" thickBot="1" x14ac:dyDescent="0.3">
      <c r="A23" s="89" t="s">
        <v>71</v>
      </c>
      <c r="B23" s="90">
        <f>'30yr Horizon_noshipping'!F6+'30yr Horizon_noshipping'!F16</f>
        <v>17176.275827262962</v>
      </c>
      <c r="C23" s="90">
        <f>'30yr Horizon_noshipping'!E6+'30yr Horizon_noshipping'!E16</f>
        <v>547443.65554222767</v>
      </c>
      <c r="D23" s="90">
        <f>'30yr Horizon_noshipping'!C6+'30yr Horizon_noshipping'!C16</f>
        <v>298240.91509132931</v>
      </c>
      <c r="E23" s="90">
        <f>'30yr Horizon_noshipping'!D6+'30yr Horizon_noshipping'!D16</f>
        <v>147649.92033256788</v>
      </c>
    </row>
    <row r="24" spans="1:5" ht="15.75" thickBot="1" x14ac:dyDescent="0.3">
      <c r="A24" s="89" t="s">
        <v>72</v>
      </c>
      <c r="B24" s="90">
        <f>SUM(B21:B23)</f>
        <v>1078859.2196233114</v>
      </c>
      <c r="C24" s="90">
        <f t="shared" ref="C24:E24" si="4">SUM(C21:C23)</f>
        <v>34385488.504357293</v>
      </c>
      <c r="D24" s="90">
        <f t="shared" si="4"/>
        <v>18732812.872302726</v>
      </c>
      <c r="E24" s="90">
        <f t="shared" si="4"/>
        <v>9274040.5096779186</v>
      </c>
    </row>
    <row r="26" spans="1:5" ht="15.75" thickBot="1" x14ac:dyDescent="0.3"/>
    <row r="27" spans="1:5" ht="15.75" thickBot="1" x14ac:dyDescent="0.3">
      <c r="A27" s="86" t="s">
        <v>64</v>
      </c>
      <c r="B27" s="86" t="s">
        <v>65</v>
      </c>
      <c r="C27" s="86" t="s">
        <v>66</v>
      </c>
      <c r="D27" s="86" t="s">
        <v>67</v>
      </c>
      <c r="E27" s="86" t="s">
        <v>68</v>
      </c>
    </row>
    <row r="28" spans="1:5" ht="15.75" thickBot="1" x14ac:dyDescent="0.3">
      <c r="A28" s="89" t="s">
        <v>73</v>
      </c>
      <c r="B28" s="90">
        <f>'30yr Horizon_noshipping'!F3+'30yr Horizon_noshipping'!F13</f>
        <v>159754.43117658334</v>
      </c>
      <c r="C28" s="90">
        <f>'30yr Horizon_noshipping'!E3+'30yr Horizon_noshipping'!E13</f>
        <v>5100591.5199175887</v>
      </c>
      <c r="D28" s="90">
        <f>'30yr Horizon_noshipping'!C3+'30yr Horizon_noshipping'!C13</f>
        <v>2743006.4276533923</v>
      </c>
      <c r="E28" s="90">
        <f>'30yr Horizon_noshipping'!D3+'30yr Horizon_noshipping'!D13</f>
        <v>1335862.1786699491</v>
      </c>
    </row>
    <row r="30" spans="1:5" ht="15.75" thickBot="1" x14ac:dyDescent="0.3"/>
    <row r="31" spans="1:5" ht="15.75" thickBot="1" x14ac:dyDescent="0.3">
      <c r="A31" s="86" t="s">
        <v>64</v>
      </c>
      <c r="B31" s="86" t="s">
        <v>65</v>
      </c>
      <c r="C31" s="86" t="s">
        <v>66</v>
      </c>
      <c r="D31" s="86" t="s">
        <v>67</v>
      </c>
      <c r="E31" s="86" t="s">
        <v>68</v>
      </c>
    </row>
    <row r="32" spans="1:5" ht="15.75" thickBot="1" x14ac:dyDescent="0.3">
      <c r="A32" s="89" t="s">
        <v>74</v>
      </c>
      <c r="B32" s="90">
        <f>'30yr Horizon_noshipping'!F9</f>
        <v>563373.08062880638</v>
      </c>
      <c r="C32" s="90">
        <f>'30yr Horizon_noshipping'!E9</f>
        <v>17956063.590473101</v>
      </c>
      <c r="D32" s="90">
        <f>'30yr Horizon_noshipping'!C9</f>
        <v>9780447.0010929722</v>
      </c>
      <c r="E32" s="90">
        <f>'30yr Horizon_noshipping'!D9</f>
        <v>4840512.2458603401</v>
      </c>
    </row>
    <row r="34" spans="1:5" ht="15.75" thickBot="1" x14ac:dyDescent="0.3"/>
    <row r="35" spans="1:5" ht="15.75" thickBot="1" x14ac:dyDescent="0.3">
      <c r="A35" s="86" t="s">
        <v>64</v>
      </c>
      <c r="B35" s="86" t="s">
        <v>65</v>
      </c>
      <c r="C35" s="86" t="s">
        <v>66</v>
      </c>
      <c r="D35" s="86" t="s">
        <v>67</v>
      </c>
      <c r="E35" s="86" t="s">
        <v>68</v>
      </c>
    </row>
    <row r="36" spans="1:5" ht="15.75" thickBot="1" x14ac:dyDescent="0.3">
      <c r="A36" s="89" t="s">
        <v>75</v>
      </c>
      <c r="B36" s="90">
        <f>'30yr Horizon_shipping'!F27</f>
        <v>6492953.1478950214</v>
      </c>
      <c r="C36" s="90">
        <f>'30yr Horizon_shipping'!E27</f>
        <v>201281547.58474568</v>
      </c>
      <c r="D36" s="90">
        <f>'30yr Horizon_shipping'!C27</f>
        <v>113700009.28551863</v>
      </c>
      <c r="E36" s="90">
        <f>'30yr Horizon_shipping'!D27</f>
        <v>59191079.922636069</v>
      </c>
    </row>
    <row r="38" spans="1:5" ht="15.75" thickBot="1" x14ac:dyDescent="0.3"/>
    <row r="39" spans="1:5" ht="15.75" thickBot="1" x14ac:dyDescent="0.3">
      <c r="A39" s="86" t="s">
        <v>64</v>
      </c>
      <c r="B39" s="86" t="s">
        <v>65</v>
      </c>
      <c r="C39" s="86" t="s">
        <v>66</v>
      </c>
      <c r="D39" s="86" t="s">
        <v>67</v>
      </c>
      <c r="E39" s="86" t="s">
        <v>68</v>
      </c>
    </row>
    <row r="40" spans="1:5" ht="15.75" thickBot="1" x14ac:dyDescent="0.3">
      <c r="A40" s="89" t="s">
        <v>76</v>
      </c>
      <c r="B40" s="90">
        <f>'30yr Horizon_noshipping'!F11</f>
        <v>11438.559653030974</v>
      </c>
      <c r="C40" s="90">
        <f>'30yr Horizon_noshipping'!E11</f>
        <v>363701.30225435033</v>
      </c>
      <c r="D40" s="90">
        <f>'30yr Horizon_noshipping'!C11</f>
        <v>206360.81963290935</v>
      </c>
      <c r="E40" s="90">
        <f>'30yr Horizon_noshipping'!D11</f>
        <v>108927.08810760168</v>
      </c>
    </row>
    <row r="41" spans="1:5" ht="15.75" thickBot="1" x14ac:dyDescent="0.3">
      <c r="A41" s="89" t="s">
        <v>77</v>
      </c>
      <c r="B41" s="90">
        <f>'30yr Horizon_noshipping'!F10</f>
        <v>152262.99476454224</v>
      </c>
      <c r="C41" s="90">
        <f>'30yr Horizon_noshipping'!E10</f>
        <v>4852990.1595873237</v>
      </c>
      <c r="D41" s="90">
        <f>'30yr Horizon_noshipping'!C10</f>
        <v>2643364.0543494523</v>
      </c>
      <c r="E41" s="90">
        <f>'30yr Horizon_noshipping'!D10</f>
        <v>1308246.5529352271</v>
      </c>
    </row>
    <row r="42" spans="1:5" ht="15.75" thickBot="1" x14ac:dyDescent="0.3">
      <c r="A42" s="89" t="s">
        <v>78</v>
      </c>
      <c r="B42" s="90">
        <f>'30yr Horizon_noshipping'!F18</f>
        <v>33688.86960037097</v>
      </c>
      <c r="C42" s="90">
        <f>'30yr Horizon_noshipping'!E18</f>
        <v>1044354.9576115002</v>
      </c>
      <c r="D42" s="90">
        <f>'30yr Horizon_noshipping'!C18</f>
        <v>570939.38012999692</v>
      </c>
      <c r="E42" s="90">
        <f>'30yr Horizon_noshipping'!D18</f>
        <v>286534.11664335366</v>
      </c>
    </row>
    <row r="43" spans="1:5" ht="15.75" thickBot="1" x14ac:dyDescent="0.3">
      <c r="A43" s="89" t="s">
        <v>72</v>
      </c>
      <c r="B43" s="90">
        <f>B40+B41+B42</f>
        <v>197390.42401794417</v>
      </c>
      <c r="C43" s="90">
        <f t="shared" ref="C43:E43" si="5">C40+C41+C42</f>
        <v>6261046.4194531739</v>
      </c>
      <c r="D43" s="90">
        <f t="shared" si="5"/>
        <v>3420664.2541123582</v>
      </c>
      <c r="E43" s="90">
        <f t="shared" si="5"/>
        <v>1703707.7576861824</v>
      </c>
    </row>
    <row r="46" spans="1:5" x14ac:dyDescent="0.25">
      <c r="A46" s="12" t="s">
        <v>79</v>
      </c>
    </row>
    <row r="47" spans="1:5" x14ac:dyDescent="0.25">
      <c r="A47" s="92" t="s">
        <v>80</v>
      </c>
      <c r="B47" s="93" t="s">
        <v>65</v>
      </c>
      <c r="C47" s="93" t="s">
        <v>66</v>
      </c>
      <c r="D47" s="93" t="s">
        <v>67</v>
      </c>
      <c r="E47" s="94" t="s">
        <v>68</v>
      </c>
    </row>
    <row r="48" spans="1:5" x14ac:dyDescent="0.25">
      <c r="A48" s="95" t="s">
        <v>81</v>
      </c>
      <c r="B48" s="96">
        <f>'30yr Horizon_noshipping'!F11</f>
        <v>11438.559653030974</v>
      </c>
      <c r="C48" s="96">
        <f>'30yr Horizon_noshipping'!E11</f>
        <v>363701.30225435033</v>
      </c>
      <c r="D48" s="96">
        <f>'30yr Horizon_noshipping'!C11</f>
        <v>206360.81963290935</v>
      </c>
      <c r="E48" s="96">
        <f>'30yr Horizon_noshipping'!D11</f>
        <v>108927.08810760168</v>
      </c>
    </row>
    <row r="49" spans="1:5" x14ac:dyDescent="0.25">
      <c r="A49" s="95" t="s">
        <v>82</v>
      </c>
      <c r="B49" s="97">
        <f>'30yr Horizon_noshipping'!F16+'30yr Horizon_noshipping'!F6</f>
        <v>17176.275827262962</v>
      </c>
      <c r="C49" s="97">
        <f>'30yr Horizon_noshipping'!E16+'30yr Horizon_noshipping'!E6</f>
        <v>547443.65554222767</v>
      </c>
      <c r="D49" s="97">
        <f>'30yr Horizon_noshipping'!C16+'30yr Horizon_noshipping'!C6</f>
        <v>298240.91509132931</v>
      </c>
      <c r="E49" s="97">
        <f>'30yr Horizon_noshipping'!D16+'30yr Horizon_noshipping'!D6</f>
        <v>147649.92033256788</v>
      </c>
    </row>
    <row r="50" spans="1:5" x14ac:dyDescent="0.25">
      <c r="A50" s="95" t="s">
        <v>83</v>
      </c>
      <c r="B50" s="96">
        <f>'30yr Horizon_noshipping'!F10</f>
        <v>152262.99476454224</v>
      </c>
      <c r="C50" s="96">
        <f>'30yr Horizon_noshipping'!E10</f>
        <v>4852990.1595873237</v>
      </c>
      <c r="D50" s="96">
        <f>'30yr Horizon_noshipping'!C10</f>
        <v>2643364.0543494523</v>
      </c>
      <c r="E50" s="96">
        <f>'30yr Horizon_noshipping'!D10</f>
        <v>1308246.5529352271</v>
      </c>
    </row>
    <row r="51" spans="1:5" x14ac:dyDescent="0.25">
      <c r="A51" s="95" t="s">
        <v>84</v>
      </c>
      <c r="B51" s="96">
        <f>'30yr Horizon_noshipping'!F18</f>
        <v>33688.86960037097</v>
      </c>
      <c r="C51" s="96">
        <f>'30yr Horizon_noshipping'!E18</f>
        <v>1044354.9576115002</v>
      </c>
      <c r="D51" s="96">
        <f>'30yr Horizon_noshipping'!C18</f>
        <v>570939.38012999692</v>
      </c>
      <c r="E51" s="96">
        <f>'30yr Horizon_noshipping'!D18</f>
        <v>286534.11664335366</v>
      </c>
    </row>
    <row r="52" spans="1:5" x14ac:dyDescent="0.25">
      <c r="A52" s="95" t="s">
        <v>72</v>
      </c>
      <c r="B52" s="98">
        <f>SUM(B48:B51)</f>
        <v>214566.69984520713</v>
      </c>
      <c r="C52" s="98">
        <f t="shared" ref="C52:E52" si="6">SUM(C48:C51)</f>
        <v>6808490.0749954022</v>
      </c>
      <c r="D52" s="98">
        <f t="shared" si="6"/>
        <v>3718905.1692036875</v>
      </c>
      <c r="E52" s="98">
        <f t="shared" si="6"/>
        <v>1851357.6780187502</v>
      </c>
    </row>
    <row r="55" spans="1:5" x14ac:dyDescent="0.25">
      <c r="A55" s="122" t="s">
        <v>85</v>
      </c>
      <c r="B55" s="123"/>
      <c r="C55" s="123"/>
      <c r="D55" s="123"/>
      <c r="E55" s="123"/>
    </row>
    <row r="56" spans="1:5" x14ac:dyDescent="0.25">
      <c r="A56" s="124" t="s">
        <v>86</v>
      </c>
      <c r="B56" s="125" t="s">
        <v>65</v>
      </c>
      <c r="C56" s="125" t="s">
        <v>66</v>
      </c>
      <c r="D56" s="125" t="s">
        <v>67</v>
      </c>
      <c r="E56" s="126" t="s">
        <v>68</v>
      </c>
    </row>
    <row r="57" spans="1:5" x14ac:dyDescent="0.25">
      <c r="A57" s="127" t="s">
        <v>75</v>
      </c>
      <c r="B57" s="128">
        <f>'30yr Horizon_shipping'!F27</f>
        <v>6492953.1478950214</v>
      </c>
      <c r="C57" s="128">
        <f>'30yr Horizon_shipping'!E27</f>
        <v>201281547.58474568</v>
      </c>
      <c r="D57" s="128">
        <f>'30yr Horizon_shipping'!C27</f>
        <v>113700009.28551863</v>
      </c>
      <c r="E57" s="128">
        <f>'30yr Horizon_shipping'!D27</f>
        <v>59191079.922636069</v>
      </c>
    </row>
    <row r="58" spans="1:5" x14ac:dyDescent="0.25">
      <c r="A58" s="127" t="s">
        <v>87</v>
      </c>
      <c r="B58" s="128">
        <f>'30yr Horizon_shipping'!F11</f>
        <v>1637.6132973156896</v>
      </c>
      <c r="C58" s="128">
        <f>'30yr Horizon_shipping'!E11</f>
        <v>50766.012216786374</v>
      </c>
      <c r="D58" s="128">
        <f>'30yr Horizon_shipping'!C11</f>
        <v>29080.561239403218</v>
      </c>
      <c r="E58" s="128">
        <f>'30yr Horizon_shipping'!D11</f>
        <v>15472.555003465503</v>
      </c>
    </row>
    <row r="59" spans="1:5" x14ac:dyDescent="0.25">
      <c r="A59" s="127" t="s">
        <v>72</v>
      </c>
      <c r="B59" s="128">
        <f>SUM(B57:B58)</f>
        <v>6494590.7611923367</v>
      </c>
      <c r="C59" s="128">
        <f>SUM(C57:C58)</f>
        <v>201332313.59696245</v>
      </c>
      <c r="D59" s="128">
        <f>SUM(D57:D58)</f>
        <v>113729089.84675804</v>
      </c>
      <c r="E59" s="128">
        <f>SUM(E57:E58)</f>
        <v>59206552.477639534</v>
      </c>
    </row>
    <row r="61" spans="1:5" x14ac:dyDescent="0.25">
      <c r="A61" s="12" t="s">
        <v>88</v>
      </c>
    </row>
    <row r="62" spans="1:5" x14ac:dyDescent="0.25">
      <c r="A62" s="92" t="s">
        <v>86</v>
      </c>
      <c r="B62" s="93" t="s">
        <v>65</v>
      </c>
      <c r="C62" s="93" t="s">
        <v>66</v>
      </c>
      <c r="D62" s="93" t="s">
        <v>67</v>
      </c>
      <c r="E62" s="94" t="s">
        <v>68</v>
      </c>
    </row>
    <row r="63" spans="1:5" x14ac:dyDescent="0.25">
      <c r="A63" s="95" t="s">
        <v>74</v>
      </c>
      <c r="B63" s="96">
        <f>B32</f>
        <v>563373.08062880638</v>
      </c>
      <c r="C63" s="96">
        <f t="shared" ref="C63:E63" si="7">C32</f>
        <v>17956063.590473101</v>
      </c>
      <c r="D63" s="96">
        <f t="shared" si="7"/>
        <v>9780447.0010929722</v>
      </c>
      <c r="E63" s="96">
        <f t="shared" si="7"/>
        <v>4840512.2458603401</v>
      </c>
    </row>
    <row r="64" spans="1:5" x14ac:dyDescent="0.25">
      <c r="A64" s="95" t="s">
        <v>72</v>
      </c>
      <c r="B64" s="97">
        <f>SUM(B63:B63)</f>
        <v>563373.08062880638</v>
      </c>
      <c r="C64" s="97">
        <f>SUM(C63:C63)</f>
        <v>17956063.590473101</v>
      </c>
      <c r="D64" s="97">
        <f>SUM(D63:D63)</f>
        <v>9780447.0010929722</v>
      </c>
      <c r="E64" s="97">
        <f>SUM(E63:E63)</f>
        <v>4840512.2458603401</v>
      </c>
    </row>
    <row r="65" spans="1:5" x14ac:dyDescent="0.25">
      <c r="A65" s="12" t="s">
        <v>89</v>
      </c>
    </row>
    <row r="66" spans="1:5" x14ac:dyDescent="0.25">
      <c r="A66" s="92"/>
      <c r="B66" s="93" t="s">
        <v>65</v>
      </c>
      <c r="C66" s="93" t="s">
        <v>66</v>
      </c>
      <c r="D66" s="93" t="s">
        <v>67</v>
      </c>
      <c r="E66" s="94" t="s">
        <v>68</v>
      </c>
    </row>
    <row r="67" spans="1:5" x14ac:dyDescent="0.25">
      <c r="A67" s="95" t="s">
        <v>90</v>
      </c>
      <c r="B67" s="96">
        <f>'30yr Horizon_noshipping'!F8</f>
        <v>52530.73319376709</v>
      </c>
      <c r="C67" s="96">
        <f>'30yr Horizon_noshipping'!E8</f>
        <v>1674281.6050576272</v>
      </c>
      <c r="D67" s="96">
        <f>'30yr Horizon_noshipping'!C8</f>
        <v>911960.59875056101</v>
      </c>
      <c r="E67" s="96">
        <f>'30yr Horizon_noshipping'!D8</f>
        <v>451345.0607626533</v>
      </c>
    </row>
    <row r="71" spans="1:5" x14ac:dyDescent="0.25">
      <c r="A71" t="s">
        <v>91</v>
      </c>
      <c r="B71" s="46">
        <f>'Traffic_Reduced port VMT'!E49+'Traffic_Reduced highway VMT'!H65</f>
        <v>55.732882963241991</v>
      </c>
      <c r="C71">
        <f>'Air Quality'!C13</f>
        <v>652.19403959201486</v>
      </c>
    </row>
    <row r="72" spans="1:5" x14ac:dyDescent="0.25">
      <c r="A72" t="s">
        <v>92</v>
      </c>
      <c r="B72" s="46">
        <f>'Traffic_Reduced port VMT'!E50+'Traffic_Reduced highway VMT'!H66</f>
        <v>0</v>
      </c>
    </row>
    <row r="73" spans="1:5" x14ac:dyDescent="0.25">
      <c r="A73" t="s">
        <v>93</v>
      </c>
      <c r="B73" s="46">
        <f>'Traffic_Reduced port VMT'!E51+'Traffic_Reduced highway VMT'!H67</f>
        <v>32822.280928789711</v>
      </c>
      <c r="C73">
        <f>'Air Quality'!C14</f>
        <v>2301.8600734726147</v>
      </c>
    </row>
    <row r="74" spans="1:5" x14ac:dyDescent="0.25">
      <c r="A74" t="s">
        <v>94</v>
      </c>
      <c r="B74" s="46">
        <f>'Traffic_Reduced port VMT'!E52+'Traffic_Reduced highway VMT'!H68</f>
        <v>1.6248653925143439</v>
      </c>
      <c r="C74">
        <f>'Air Quality'!C15</f>
        <v>10.303587584951902</v>
      </c>
    </row>
    <row r="76" spans="1:5" x14ac:dyDescent="0.25">
      <c r="A76" s="12" t="s">
        <v>95</v>
      </c>
    </row>
    <row r="77" spans="1:5" x14ac:dyDescent="0.25">
      <c r="A77" s="92" t="s">
        <v>96</v>
      </c>
      <c r="B77" s="93" t="s">
        <v>65</v>
      </c>
      <c r="C77" s="93" t="s">
        <v>66</v>
      </c>
      <c r="D77" s="93" t="s">
        <v>67</v>
      </c>
      <c r="E77" s="94" t="s">
        <v>68</v>
      </c>
    </row>
    <row r="78" spans="1:5" x14ac:dyDescent="0.25">
      <c r="A78" s="95" t="s">
        <v>97</v>
      </c>
      <c r="B78" s="96">
        <f>'30yr Horizon_noshipping'!F3+'30yr Horizon_noshipping'!F13</f>
        <v>159754.43117658334</v>
      </c>
      <c r="C78" s="96">
        <f>'30yr Horizon_noshipping'!E3+'30yr Horizon_noshipping'!E13</f>
        <v>5100591.5199175887</v>
      </c>
      <c r="D78" s="96">
        <f>'30yr Horizon_noshipping'!C3+'30yr Horizon_noshipping'!C13</f>
        <v>2743006.4276533923</v>
      </c>
      <c r="E78" s="96">
        <f>'30yr Horizon_noshipping'!D3+'30yr Horizon_noshipping'!D13</f>
        <v>1335862.1786699491</v>
      </c>
    </row>
    <row r="79" spans="1:5" x14ac:dyDescent="0.25">
      <c r="A79" s="95" t="s">
        <v>98</v>
      </c>
      <c r="B79" s="97">
        <f>-'30yr Horizon_noshipping'!F23</f>
        <v>-680492.56109373062</v>
      </c>
      <c r="C79" s="97">
        <f>-'30yr Horizon_noshipping'!E23</f>
        <v>-21505477.521531094</v>
      </c>
      <c r="D79" s="97">
        <f>-'30yr Horizon_noshipping'!C23</f>
        <v>-12177974.46143678</v>
      </c>
      <c r="E79" s="97">
        <f>-'30yr Horizon_noshipping'!D23</f>
        <v>-6396482.4778001085</v>
      </c>
    </row>
    <row r="80" spans="1:5" x14ac:dyDescent="0.25">
      <c r="A80" s="95" t="s">
        <v>72</v>
      </c>
      <c r="B80" s="96">
        <f>SUM(B78:B79)</f>
        <v>-520738.12991714728</v>
      </c>
      <c r="C80" s="96">
        <f t="shared" ref="C80:E80" si="8">SUM(C78:C79)</f>
        <v>-16404886.001613505</v>
      </c>
      <c r="D80" s="96">
        <f t="shared" si="8"/>
        <v>-9434968.0337833874</v>
      </c>
      <c r="E80" s="96">
        <f t="shared" si="8"/>
        <v>-5060620.2991301594</v>
      </c>
    </row>
    <row r="82" spans="1:5" x14ac:dyDescent="0.25">
      <c r="A82" s="12" t="s">
        <v>99</v>
      </c>
    </row>
    <row r="83" spans="1:5" x14ac:dyDescent="0.25">
      <c r="A83" s="92" t="s">
        <v>100</v>
      </c>
      <c r="B83" s="93" t="s">
        <v>65</v>
      </c>
      <c r="C83" s="93" t="s">
        <v>66</v>
      </c>
      <c r="D83" s="93" t="s">
        <v>67</v>
      </c>
      <c r="E83" s="94" t="s">
        <v>68</v>
      </c>
    </row>
    <row r="84" spans="1:5" x14ac:dyDescent="0.25">
      <c r="A84" s="95" t="s">
        <v>101</v>
      </c>
      <c r="B84" s="96">
        <f>'30yr Horizon_noshipping'!F5+'30yr Horizon_noshipping'!F15</f>
        <v>673182.58937326202</v>
      </c>
      <c r="C84" s="96">
        <f>'30yr Horizon_noshipping'!E5+'30yr Horizon_noshipping'!E15</f>
        <v>21455730.05930274</v>
      </c>
      <c r="D84" s="96">
        <f>'30yr Horizon_noshipping'!C5+'30yr Horizon_noshipping'!C15</f>
        <v>11688831.356536558</v>
      </c>
      <c r="E84" s="96">
        <f>'30yr Horizon_noshipping'!D5+'30yr Horizon_noshipping'!D15</f>
        <v>5786781.5287682507</v>
      </c>
    </row>
    <row r="85" spans="1:5" x14ac:dyDescent="0.25">
      <c r="A85" s="95" t="s">
        <v>102</v>
      </c>
      <c r="B85" s="97">
        <f>'30yr Horizon_noshipping'!F4+'30yr Horizon_noshipping'!F14</f>
        <v>388500.35442278639</v>
      </c>
      <c r="C85" s="97">
        <f>'30yr Horizon_noshipping'!E4+'30yr Horizon_noshipping'!E14</f>
        <v>12382314.789512325</v>
      </c>
      <c r="D85" s="97">
        <f>'30yr Horizon_noshipping'!C4+'30yr Horizon_noshipping'!C14</f>
        <v>6745740.6006748378</v>
      </c>
      <c r="E85" s="97">
        <f>'30yr Horizon_noshipping'!D4+'30yr Horizon_noshipping'!D14</f>
        <v>3339609.0605771001</v>
      </c>
    </row>
    <row r="86" spans="1:5" x14ac:dyDescent="0.25">
      <c r="A86" s="95" t="s">
        <v>72</v>
      </c>
      <c r="B86" s="96">
        <f>SUM(B84:B85)</f>
        <v>1061682.9437960484</v>
      </c>
      <c r="C86" s="96">
        <f t="shared" ref="C86:E86" si="9">SUM(C84:C85)</f>
        <v>33838044.848815069</v>
      </c>
      <c r="D86" s="96">
        <f t="shared" si="9"/>
        <v>18434571.957211398</v>
      </c>
      <c r="E86" s="96">
        <f t="shared" si="9"/>
        <v>9126390.5893453509</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B47731-E68B-407D-A38A-ACEE7692E4F8}">
  <sheetPr>
    <tabColor theme="7"/>
  </sheetPr>
  <dimension ref="A1:AS33"/>
  <sheetViews>
    <sheetView topLeftCell="C1" zoomScale="98" zoomScaleNormal="98" workbookViewId="0">
      <selection activeCell="J23" sqref="J23"/>
    </sheetView>
  </sheetViews>
  <sheetFormatPr defaultRowHeight="15" x14ac:dyDescent="0.25"/>
  <cols>
    <col min="1" max="1" width="47.7109375" customWidth="1"/>
    <col min="2" max="2" width="27.42578125" bestFit="1" customWidth="1"/>
    <col min="3" max="6" width="21.5703125" customWidth="1"/>
    <col min="7" max="7" width="10.7109375" bestFit="1" customWidth="1"/>
    <col min="8" max="8" width="14.28515625" customWidth="1"/>
    <col min="9" max="9" width="13.7109375" customWidth="1"/>
    <col min="10" max="10" width="12.7109375" customWidth="1"/>
    <col min="11" max="11" width="14" bestFit="1" customWidth="1"/>
    <col min="12" max="12" width="15.28515625" customWidth="1"/>
    <col min="13" max="13" width="16" customWidth="1"/>
    <col min="14" max="14" width="13.5703125" customWidth="1"/>
    <col min="15" max="39" width="13.7109375" bestFit="1" customWidth="1"/>
    <col min="40" max="40" width="14.28515625" bestFit="1" customWidth="1"/>
    <col min="41" max="41" width="19.5703125" customWidth="1"/>
    <col min="42" max="45" width="12.42578125" bestFit="1" customWidth="1"/>
  </cols>
  <sheetData>
    <row r="1" spans="1:45" x14ac:dyDescent="0.25">
      <c r="C1" s="22">
        <v>0.03</v>
      </c>
      <c r="D1" s="22">
        <v>7.0000000000000007E-2</v>
      </c>
      <c r="K1">
        <v>1</v>
      </c>
      <c r="L1">
        <f>K1+1</f>
        <v>2</v>
      </c>
      <c r="M1">
        <f t="shared" ref="M1:AN1" si="0">L1+1</f>
        <v>3</v>
      </c>
      <c r="N1">
        <f t="shared" si="0"/>
        <v>4</v>
      </c>
      <c r="O1">
        <f t="shared" si="0"/>
        <v>5</v>
      </c>
      <c r="P1">
        <f t="shared" si="0"/>
        <v>6</v>
      </c>
      <c r="Q1">
        <f t="shared" si="0"/>
        <v>7</v>
      </c>
      <c r="R1">
        <f t="shared" si="0"/>
        <v>8</v>
      </c>
      <c r="S1">
        <f t="shared" si="0"/>
        <v>9</v>
      </c>
      <c r="T1">
        <f t="shared" si="0"/>
        <v>10</v>
      </c>
      <c r="U1">
        <f t="shared" si="0"/>
        <v>11</v>
      </c>
      <c r="V1">
        <f t="shared" si="0"/>
        <v>12</v>
      </c>
      <c r="W1">
        <f t="shared" si="0"/>
        <v>13</v>
      </c>
      <c r="X1">
        <f t="shared" si="0"/>
        <v>14</v>
      </c>
      <c r="Y1">
        <f t="shared" si="0"/>
        <v>15</v>
      </c>
      <c r="Z1">
        <f t="shared" si="0"/>
        <v>16</v>
      </c>
      <c r="AA1">
        <f t="shared" si="0"/>
        <v>17</v>
      </c>
      <c r="AB1">
        <f t="shared" si="0"/>
        <v>18</v>
      </c>
      <c r="AC1">
        <f t="shared" si="0"/>
        <v>19</v>
      </c>
      <c r="AD1">
        <f t="shared" si="0"/>
        <v>20</v>
      </c>
      <c r="AE1">
        <f t="shared" si="0"/>
        <v>21</v>
      </c>
      <c r="AF1">
        <f t="shared" si="0"/>
        <v>22</v>
      </c>
      <c r="AG1">
        <f t="shared" si="0"/>
        <v>23</v>
      </c>
      <c r="AH1">
        <f t="shared" si="0"/>
        <v>24</v>
      </c>
      <c r="AI1">
        <f t="shared" si="0"/>
        <v>25</v>
      </c>
      <c r="AJ1">
        <f t="shared" si="0"/>
        <v>26</v>
      </c>
      <c r="AK1">
        <f t="shared" si="0"/>
        <v>27</v>
      </c>
      <c r="AL1">
        <f t="shared" si="0"/>
        <v>28</v>
      </c>
      <c r="AM1">
        <f t="shared" si="0"/>
        <v>29</v>
      </c>
      <c r="AN1">
        <f t="shared" si="0"/>
        <v>30</v>
      </c>
      <c r="AO1">
        <f>AN1+1</f>
        <v>31</v>
      </c>
    </row>
    <row r="2" spans="1:45" x14ac:dyDescent="0.25">
      <c r="A2" s="8" t="s">
        <v>103</v>
      </c>
      <c r="B2" s="8" t="s">
        <v>104</v>
      </c>
      <c r="C2" s="8" t="s">
        <v>105</v>
      </c>
      <c r="D2" s="8" t="s">
        <v>106</v>
      </c>
      <c r="E2" s="8" t="s">
        <v>57</v>
      </c>
      <c r="F2" s="8" t="s">
        <v>107</v>
      </c>
      <c r="G2" s="8">
        <v>2022</v>
      </c>
      <c r="H2" s="8">
        <v>2023</v>
      </c>
      <c r="I2" s="8">
        <v>2024</v>
      </c>
      <c r="J2" s="8">
        <v>2025</v>
      </c>
      <c r="K2" s="8">
        <v>2026</v>
      </c>
      <c r="L2" s="8">
        <v>2027</v>
      </c>
      <c r="M2" s="8">
        <v>2028</v>
      </c>
      <c r="N2" s="8">
        <v>2029</v>
      </c>
      <c r="O2" s="8">
        <v>2030</v>
      </c>
      <c r="P2" s="8">
        <v>2031</v>
      </c>
      <c r="Q2" s="8">
        <v>2032</v>
      </c>
      <c r="R2" s="8">
        <v>2033</v>
      </c>
      <c r="S2" s="8">
        <v>2034</v>
      </c>
      <c r="T2" s="8">
        <v>2035</v>
      </c>
      <c r="U2" s="8">
        <v>2036</v>
      </c>
      <c r="V2" s="8">
        <v>2037</v>
      </c>
      <c r="W2" s="8">
        <v>2038</v>
      </c>
      <c r="X2" s="8">
        <v>2039</v>
      </c>
      <c r="Y2" s="8">
        <v>2040</v>
      </c>
      <c r="Z2" s="8">
        <v>2041</v>
      </c>
      <c r="AA2" s="8">
        <v>2042</v>
      </c>
      <c r="AB2" s="8">
        <v>2043</v>
      </c>
      <c r="AC2" s="8">
        <v>2044</v>
      </c>
      <c r="AD2" s="8">
        <v>2045</v>
      </c>
      <c r="AE2" s="8">
        <v>2046</v>
      </c>
      <c r="AF2" s="8">
        <v>2047</v>
      </c>
      <c r="AG2" s="8">
        <v>2048</v>
      </c>
      <c r="AH2" s="8">
        <v>2049</v>
      </c>
      <c r="AI2" s="8">
        <v>2050</v>
      </c>
      <c r="AJ2" s="8">
        <v>2051</v>
      </c>
      <c r="AK2" s="8">
        <v>2052</v>
      </c>
      <c r="AL2" s="8">
        <v>2053</v>
      </c>
      <c r="AM2" s="8">
        <v>2054</v>
      </c>
      <c r="AN2" s="8">
        <v>2055</v>
      </c>
      <c r="AO2" s="8">
        <v>2056</v>
      </c>
      <c r="AP2" s="12"/>
      <c r="AQ2" s="12"/>
      <c r="AR2" s="12"/>
      <c r="AS2" s="12"/>
    </row>
    <row r="3" spans="1:45" x14ac:dyDescent="0.25">
      <c r="A3" t="s">
        <v>108</v>
      </c>
      <c r="B3" t="s">
        <v>109</v>
      </c>
      <c r="C3" s="50">
        <f t="shared" ref="C3:C10" si="1">NPV($C$1, G3:AO3)</f>
        <v>2730511.0617577084</v>
      </c>
      <c r="D3" s="50">
        <f t="shared" ref="D3:D10" si="2">NPV($D$1, G3:AO3)</f>
        <v>1329397.1709250915</v>
      </c>
      <c r="E3" s="16">
        <f t="shared" ref="E3:E10" si="3">SUM(G3:AO3)</f>
        <v>5078212.8869054224</v>
      </c>
      <c r="F3" s="16">
        <f>AVERAGE(J3:AN3)</f>
        <v>159051.92939061538</v>
      </c>
      <c r="G3" s="13">
        <f>'Traffic_Reduced highway VMT'!F56</f>
        <v>0</v>
      </c>
      <c r="H3" s="13">
        <f>'Traffic_Reduced highway VMT'!G56</f>
        <v>0</v>
      </c>
      <c r="I3" s="13">
        <f>'Traffic_Reduced highway VMT'!H56</f>
        <v>0</v>
      </c>
      <c r="J3" s="13">
        <f>'Traffic_Reduced highway VMT'!I56</f>
        <v>0</v>
      </c>
      <c r="K3" s="13">
        <f>'Traffic_Reduced highway VMT'!J56</f>
        <v>0</v>
      </c>
      <c r="L3" s="13">
        <f>'Traffic_Reduced highway VMT'!K56</f>
        <v>24014.950958146204</v>
      </c>
      <c r="M3" s="13">
        <f>'Traffic_Reduced highway VMT'!L56</f>
        <v>65085.800774852767</v>
      </c>
      <c r="N3" s="13">
        <f>'Traffic_Reduced highway VMT'!M56</f>
        <v>99326.18501955962</v>
      </c>
      <c r="O3" s="13">
        <f>'Traffic_Reduced highway VMT'!N56</f>
        <v>118562.26904373118</v>
      </c>
      <c r="P3" s="13">
        <f>'Traffic_Reduced highway VMT'!O56</f>
        <v>136453.80321517229</v>
      </c>
      <c r="Q3" s="13">
        <f>'Traffic_Reduced highway VMT'!P56</f>
        <v>171759.83797545763</v>
      </c>
      <c r="R3" s="13">
        <f>'Traffic_Reduced highway VMT'!Q56</f>
        <v>172952.42193194988</v>
      </c>
      <c r="S3" s="13">
        <f>'Traffic_Reduced highway VMT'!R56</f>
        <v>174145.00588844216</v>
      </c>
      <c r="T3" s="13">
        <f>'Traffic_Reduced highway VMT'!S56</f>
        <v>175337.58984493441</v>
      </c>
      <c r="U3" s="13">
        <f>'Traffic_Reduced highway VMT'!T56</f>
        <v>177722.75775791894</v>
      </c>
      <c r="V3" s="13">
        <f>'Traffic_Reduced highway VMT'!U56</f>
        <v>178915.34171441122</v>
      </c>
      <c r="W3" s="13">
        <f>'Traffic_Reduced highway VMT'!V56</f>
        <v>180107.92567090347</v>
      </c>
      <c r="X3" s="13">
        <f>'Traffic_Reduced highway VMT'!W56</f>
        <v>181300.50962739572</v>
      </c>
      <c r="Y3" s="13">
        <f>'Traffic_Reduced highway VMT'!X56</f>
        <v>182493.093583888</v>
      </c>
      <c r="Z3" s="13">
        <f>'Traffic_Reduced highway VMT'!Y56</f>
        <v>184878.26149687252</v>
      </c>
      <c r="AA3" s="13">
        <f>'Traffic_Reduced highway VMT'!Z56</f>
        <v>186070.84545336477</v>
      </c>
      <c r="AB3" s="13">
        <f>'Traffic_Reduced highway VMT'!AA56</f>
        <v>187263.42940985705</v>
      </c>
      <c r="AC3" s="13">
        <f>'Traffic_Reduced highway VMT'!AB56</f>
        <v>188456.0133663493</v>
      </c>
      <c r="AD3" s="13">
        <f>'Traffic_Reduced highway VMT'!AC56</f>
        <v>189648.59732284155</v>
      </c>
      <c r="AE3" s="13">
        <f>'Traffic_Reduced highway VMT'!AD56</f>
        <v>192033.76523582608</v>
      </c>
      <c r="AF3" s="13">
        <f>'Traffic_Reduced highway VMT'!AE56</f>
        <v>193226.34919231836</v>
      </c>
      <c r="AG3" s="13">
        <f>'Traffic_Reduced highway VMT'!AF56</f>
        <v>194418.93314881061</v>
      </c>
      <c r="AH3" s="13">
        <f>'Traffic_Reduced highway VMT'!AG56</f>
        <v>195611.51710530289</v>
      </c>
      <c r="AI3" s="13">
        <f>'Traffic_Reduced highway VMT'!AH56</f>
        <v>196804.10106179514</v>
      </c>
      <c r="AJ3" s="13">
        <f>'Traffic_Reduced highway VMT'!AI56</f>
        <v>196804.10106179514</v>
      </c>
      <c r="AK3" s="13">
        <f>'Traffic_Reduced highway VMT'!AJ56</f>
        <v>196804.10106179514</v>
      </c>
      <c r="AL3" s="13">
        <f>'Traffic_Reduced highway VMT'!AK56</f>
        <v>196804.10106179514</v>
      </c>
      <c r="AM3" s="13">
        <f>'Traffic_Reduced highway VMT'!AL56</f>
        <v>196804.10106179514</v>
      </c>
      <c r="AN3" s="13">
        <f>'Traffic_Reduced highway VMT'!AM56</f>
        <v>196804.10106179514</v>
      </c>
      <c r="AO3" s="13">
        <f>'Traffic_Reduced highway VMT'!AN56</f>
        <v>147603.07579634635</v>
      </c>
      <c r="AP3" s="13"/>
      <c r="AQ3" s="13"/>
      <c r="AR3" s="13"/>
      <c r="AS3" s="13"/>
    </row>
    <row r="4" spans="1:45" x14ac:dyDescent="0.25">
      <c r="A4" t="s">
        <v>110</v>
      </c>
      <c r="B4" t="s">
        <v>109</v>
      </c>
      <c r="C4" s="50">
        <f t="shared" si="1"/>
        <v>6714600.4780921303</v>
      </c>
      <c r="D4" s="50">
        <f t="shared" si="2"/>
        <v>3323171.817876271</v>
      </c>
      <c r="E4" s="16">
        <f t="shared" si="3"/>
        <v>12327431.77850356</v>
      </c>
      <c r="F4" s="16">
        <f t="shared" ref="F4:F10" si="4">AVERAGE(J4:AN4)</f>
        <v>386774.26053345879</v>
      </c>
      <c r="G4" s="13">
        <f>'Traffic_Reduced highway VMT'!F53</f>
        <v>0</v>
      </c>
      <c r="H4" s="13">
        <f>'Traffic_Reduced highway VMT'!G53</f>
        <v>0</v>
      </c>
      <c r="I4" s="13">
        <f>'Traffic_Reduced highway VMT'!H53</f>
        <v>0</v>
      </c>
      <c r="J4" s="13">
        <f>'Traffic_Reduced highway VMT'!I53</f>
        <v>0</v>
      </c>
      <c r="K4" s="13">
        <f>'Traffic_Reduced highway VMT'!J53</f>
        <v>0</v>
      </c>
      <c r="L4" s="13">
        <f>'Traffic_Reduced highway VMT'!K53</f>
        <v>67485.94039326768</v>
      </c>
      <c r="M4" s="13">
        <f>'Traffic_Reduced highway VMT'!L53</f>
        <v>179962.50771538049</v>
      </c>
      <c r="N4" s="13">
        <f>'Traffic_Reduced highway VMT'!M53</f>
        <v>269943.76157307072</v>
      </c>
      <c r="O4" s="13">
        <f>'Traffic_Reduced highway VMT'!N53</f>
        <v>314934.38850191585</v>
      </c>
      <c r="P4" s="13">
        <f>'Traffic_Reduced highway VMT'!O53</f>
        <v>359925.01543076098</v>
      </c>
      <c r="Q4" s="13">
        <f>'Traffic_Reduced highway VMT'!P53</f>
        <v>449906.26928845124</v>
      </c>
      <c r="R4" s="13">
        <f>'Traffic_Reduced highway VMT'!Q53</f>
        <v>449906.26928845124</v>
      </c>
      <c r="S4" s="13">
        <f>'Traffic_Reduced highway VMT'!R53</f>
        <v>449906.26928845124</v>
      </c>
      <c r="T4" s="13">
        <f>'Traffic_Reduced highway VMT'!S53</f>
        <v>449906.26928845124</v>
      </c>
      <c r="U4" s="13">
        <f>'Traffic_Reduced highway VMT'!T53</f>
        <v>449906.26928845124</v>
      </c>
      <c r="V4" s="13">
        <f>'Traffic_Reduced highway VMT'!U53</f>
        <v>449906.26928845124</v>
      </c>
      <c r="W4" s="13">
        <f>'Traffic_Reduced highway VMT'!V53</f>
        <v>449906.26928845124</v>
      </c>
      <c r="X4" s="13">
        <f>'Traffic_Reduced highway VMT'!W53</f>
        <v>449906.26928845124</v>
      </c>
      <c r="Y4" s="13">
        <f>'Traffic_Reduced highway VMT'!X53</f>
        <v>449906.26928845124</v>
      </c>
      <c r="Z4" s="13">
        <f>'Traffic_Reduced highway VMT'!Y53</f>
        <v>449906.26928845124</v>
      </c>
      <c r="AA4" s="13">
        <f>'Traffic_Reduced highway VMT'!Z53</f>
        <v>449906.26928845124</v>
      </c>
      <c r="AB4" s="13">
        <f>'Traffic_Reduced highway VMT'!AA53</f>
        <v>449906.26928845124</v>
      </c>
      <c r="AC4" s="13">
        <f>'Traffic_Reduced highway VMT'!AB53</f>
        <v>449906.26928845124</v>
      </c>
      <c r="AD4" s="13">
        <f>'Traffic_Reduced highway VMT'!AC53</f>
        <v>449906.26928845124</v>
      </c>
      <c r="AE4" s="13">
        <f>'Traffic_Reduced highway VMT'!AD53</f>
        <v>449906.26928845124</v>
      </c>
      <c r="AF4" s="13">
        <f>'Traffic_Reduced highway VMT'!AE53</f>
        <v>449906.26928845124</v>
      </c>
      <c r="AG4" s="13">
        <f>'Traffic_Reduced highway VMT'!AF53</f>
        <v>449906.26928845124</v>
      </c>
      <c r="AH4" s="13">
        <f>'Traffic_Reduced highway VMT'!AG53</f>
        <v>449906.26928845124</v>
      </c>
      <c r="AI4" s="13">
        <f>'Traffic_Reduced highway VMT'!AH53</f>
        <v>449906.26928845124</v>
      </c>
      <c r="AJ4" s="13">
        <f>'Traffic_Reduced highway VMT'!AI53</f>
        <v>449906.26928845124</v>
      </c>
      <c r="AK4" s="13">
        <f>'Traffic_Reduced highway VMT'!AJ53</f>
        <v>449906.26928845124</v>
      </c>
      <c r="AL4" s="13">
        <f>'Traffic_Reduced highway VMT'!AK53</f>
        <v>449906.26928845124</v>
      </c>
      <c r="AM4" s="13">
        <f>'Traffic_Reduced highway VMT'!AL53</f>
        <v>449906.26928845124</v>
      </c>
      <c r="AN4" s="13">
        <f>'Traffic_Reduced highway VMT'!AM53</f>
        <v>449906.26928845124</v>
      </c>
      <c r="AO4" s="13">
        <f>'Traffic_Reduced highway VMT'!AN53</f>
        <v>337429.70196633844</v>
      </c>
      <c r="AP4" s="13"/>
      <c r="AQ4" s="13"/>
      <c r="AR4" s="13"/>
      <c r="AS4" s="13"/>
    </row>
    <row r="5" spans="1:45" x14ac:dyDescent="0.25">
      <c r="A5" t="s">
        <v>111</v>
      </c>
      <c r="B5" t="s">
        <v>109</v>
      </c>
      <c r="C5" s="50">
        <f t="shared" si="1"/>
        <v>11634872.619781289</v>
      </c>
      <c r="D5" s="50">
        <f t="shared" si="2"/>
        <v>5758299.5326065198</v>
      </c>
      <c r="E5" s="16">
        <f t="shared" si="3"/>
        <v>21360630.307029992</v>
      </c>
      <c r="F5" s="16">
        <f t="shared" si="4"/>
        <v>670191.66197592334</v>
      </c>
      <c r="G5" s="13">
        <f>'Traffic_Reduced highway VMT'!F54</f>
        <v>0</v>
      </c>
      <c r="H5" s="13">
        <f>'Traffic_Reduced highway VMT'!G54</f>
        <v>0</v>
      </c>
      <c r="I5" s="13">
        <f>'Traffic_Reduced highway VMT'!H54</f>
        <v>0</v>
      </c>
      <c r="J5" s="13">
        <f>'Traffic_Reduced highway VMT'!I54</f>
        <v>0</v>
      </c>
      <c r="K5" s="13">
        <f>'Traffic_Reduced highway VMT'!J54</f>
        <v>0</v>
      </c>
      <c r="L5" s="13">
        <f>'Traffic_Reduced highway VMT'!K54</f>
        <v>116937.75715527368</v>
      </c>
      <c r="M5" s="13">
        <f>'Traffic_Reduced highway VMT'!L54</f>
        <v>311834.01908072981</v>
      </c>
      <c r="N5" s="13">
        <f>'Traffic_Reduced highway VMT'!M54</f>
        <v>467751.02862109471</v>
      </c>
      <c r="O5" s="13">
        <f>'Traffic_Reduced highway VMT'!N54</f>
        <v>545709.53339127719</v>
      </c>
      <c r="P5" s="13">
        <f>'Traffic_Reduced highway VMT'!O54</f>
        <v>623668.03816145961</v>
      </c>
      <c r="Q5" s="13">
        <f>'Traffic_Reduced highway VMT'!P54</f>
        <v>779585.04770182457</v>
      </c>
      <c r="R5" s="13">
        <f>'Traffic_Reduced highway VMT'!Q54</f>
        <v>779585.04770182457</v>
      </c>
      <c r="S5" s="13">
        <f>'Traffic_Reduced highway VMT'!R54</f>
        <v>779585.04770182457</v>
      </c>
      <c r="T5" s="13">
        <f>'Traffic_Reduced highway VMT'!S54</f>
        <v>779585.04770182457</v>
      </c>
      <c r="U5" s="13">
        <f>'Traffic_Reduced highway VMT'!T54</f>
        <v>779585.04770182457</v>
      </c>
      <c r="V5" s="13">
        <f>'Traffic_Reduced highway VMT'!U54</f>
        <v>779585.04770182457</v>
      </c>
      <c r="W5" s="13">
        <f>'Traffic_Reduced highway VMT'!V54</f>
        <v>779585.04770182457</v>
      </c>
      <c r="X5" s="13">
        <f>'Traffic_Reduced highway VMT'!W54</f>
        <v>779585.04770182457</v>
      </c>
      <c r="Y5" s="13">
        <f>'Traffic_Reduced highway VMT'!X54</f>
        <v>779585.04770182457</v>
      </c>
      <c r="Z5" s="13">
        <f>'Traffic_Reduced highway VMT'!Y54</f>
        <v>779585.04770182457</v>
      </c>
      <c r="AA5" s="13">
        <f>'Traffic_Reduced highway VMT'!Z54</f>
        <v>779585.04770182457</v>
      </c>
      <c r="AB5" s="13">
        <f>'Traffic_Reduced highway VMT'!AA54</f>
        <v>779585.04770182457</v>
      </c>
      <c r="AC5" s="13">
        <f>'Traffic_Reduced highway VMT'!AB54</f>
        <v>779585.04770182457</v>
      </c>
      <c r="AD5" s="13">
        <f>'Traffic_Reduced highway VMT'!AC54</f>
        <v>779585.04770182457</v>
      </c>
      <c r="AE5" s="13">
        <f>'Traffic_Reduced highway VMT'!AD54</f>
        <v>779585.04770182457</v>
      </c>
      <c r="AF5" s="13">
        <f>'Traffic_Reduced highway VMT'!AE54</f>
        <v>779585.04770182457</v>
      </c>
      <c r="AG5" s="13">
        <f>'Traffic_Reduced highway VMT'!AF54</f>
        <v>779585.04770182457</v>
      </c>
      <c r="AH5" s="13">
        <f>'Traffic_Reduced highway VMT'!AG54</f>
        <v>779585.04770182457</v>
      </c>
      <c r="AI5" s="13">
        <f>'Traffic_Reduced highway VMT'!AH54</f>
        <v>779585.04770182457</v>
      </c>
      <c r="AJ5" s="13">
        <f>'Traffic_Reduced highway VMT'!AI54</f>
        <v>779585.04770182457</v>
      </c>
      <c r="AK5" s="13">
        <f>'Traffic_Reduced highway VMT'!AJ54</f>
        <v>779585.04770182457</v>
      </c>
      <c r="AL5" s="13">
        <f>'Traffic_Reduced highway VMT'!AK54</f>
        <v>779585.04770182457</v>
      </c>
      <c r="AM5" s="13">
        <f>'Traffic_Reduced highway VMT'!AL54</f>
        <v>779585.04770182457</v>
      </c>
      <c r="AN5" s="13">
        <f>'Traffic_Reduced highway VMT'!AM54</f>
        <v>779585.04770182457</v>
      </c>
      <c r="AO5" s="13">
        <f>'Traffic_Reduced highway VMT'!AN54</f>
        <v>584688.78577636846</v>
      </c>
      <c r="AP5" s="13"/>
      <c r="AQ5" s="13"/>
      <c r="AR5" s="13"/>
      <c r="AS5" s="13"/>
    </row>
    <row r="6" spans="1:45" x14ac:dyDescent="0.25">
      <c r="A6" t="s">
        <v>112</v>
      </c>
      <c r="B6" t="s">
        <v>109</v>
      </c>
      <c r="C6" s="50">
        <f t="shared" si="1"/>
        <v>296864.15615485405</v>
      </c>
      <c r="D6" s="50">
        <f t="shared" si="2"/>
        <v>146923.20126717971</v>
      </c>
      <c r="E6" s="16">
        <f t="shared" si="3"/>
        <v>545017.18224668107</v>
      </c>
      <c r="F6" s="16">
        <f t="shared" si="4"/>
        <v>17099.962216710679</v>
      </c>
      <c r="G6" s="13">
        <f>'Traffic_Reduced highway VMT'!F55</f>
        <v>0</v>
      </c>
      <c r="H6" s="13">
        <f>'Traffic_Reduced highway VMT'!G55</f>
        <v>0</v>
      </c>
      <c r="I6" s="13">
        <f>'Traffic_Reduced highway VMT'!H55</f>
        <v>0</v>
      </c>
      <c r="J6" s="13">
        <f>'Traffic_Reduced highway VMT'!I55</f>
        <v>0</v>
      </c>
      <c r="K6" s="13">
        <f>'Traffic_Reduced highway VMT'!J55</f>
        <v>0</v>
      </c>
      <c r="L6" s="13">
        <f>'Traffic_Reduced highway VMT'!K55</f>
        <v>2983.6707057300073</v>
      </c>
      <c r="M6" s="13">
        <f>'Traffic_Reduced highway VMT'!L55</f>
        <v>7956.4552152800179</v>
      </c>
      <c r="N6" s="13">
        <f>'Traffic_Reduced highway VMT'!M55</f>
        <v>11934.682822920029</v>
      </c>
      <c r="O6" s="13">
        <f>'Traffic_Reduced highway VMT'!N55</f>
        <v>13923.796626740033</v>
      </c>
      <c r="P6" s="13">
        <f>'Traffic_Reduced highway VMT'!O55</f>
        <v>15912.910430560036</v>
      </c>
      <c r="Q6" s="13">
        <f>'Traffic_Reduced highway VMT'!P55</f>
        <v>19891.138038200046</v>
      </c>
      <c r="R6" s="13">
        <f>'Traffic_Reduced highway VMT'!Q55</f>
        <v>19891.138038200046</v>
      </c>
      <c r="S6" s="13">
        <f>'Traffic_Reduced highway VMT'!R55</f>
        <v>19891.138038200046</v>
      </c>
      <c r="T6" s="13">
        <f>'Traffic_Reduced highway VMT'!S55</f>
        <v>19891.138038200046</v>
      </c>
      <c r="U6" s="13">
        <f>'Traffic_Reduced highway VMT'!T55</f>
        <v>19891.138038200046</v>
      </c>
      <c r="V6" s="13">
        <f>'Traffic_Reduced highway VMT'!U55</f>
        <v>19891.138038200046</v>
      </c>
      <c r="W6" s="13">
        <f>'Traffic_Reduced highway VMT'!V55</f>
        <v>19891.138038200046</v>
      </c>
      <c r="X6" s="13">
        <f>'Traffic_Reduced highway VMT'!W55</f>
        <v>19891.138038200046</v>
      </c>
      <c r="Y6" s="13">
        <f>'Traffic_Reduced highway VMT'!X55</f>
        <v>19891.138038200046</v>
      </c>
      <c r="Z6" s="13">
        <f>'Traffic_Reduced highway VMT'!Y55</f>
        <v>19891.138038200046</v>
      </c>
      <c r="AA6" s="13">
        <f>'Traffic_Reduced highway VMT'!Z55</f>
        <v>19891.138038200046</v>
      </c>
      <c r="AB6" s="13">
        <f>'Traffic_Reduced highway VMT'!AA55</f>
        <v>19891.138038200046</v>
      </c>
      <c r="AC6" s="13">
        <f>'Traffic_Reduced highway VMT'!AB55</f>
        <v>19891.138038200046</v>
      </c>
      <c r="AD6" s="13">
        <f>'Traffic_Reduced highway VMT'!AC55</f>
        <v>19891.138038200046</v>
      </c>
      <c r="AE6" s="13">
        <f>'Traffic_Reduced highway VMT'!AD55</f>
        <v>19891.138038200046</v>
      </c>
      <c r="AF6" s="13">
        <f>'Traffic_Reduced highway VMT'!AE55</f>
        <v>19891.138038200046</v>
      </c>
      <c r="AG6" s="13">
        <f>'Traffic_Reduced highway VMT'!AF55</f>
        <v>19891.138038200046</v>
      </c>
      <c r="AH6" s="13">
        <f>'Traffic_Reduced highway VMT'!AG55</f>
        <v>19891.138038200046</v>
      </c>
      <c r="AI6" s="13">
        <f>'Traffic_Reduced highway VMT'!AH55</f>
        <v>19891.138038200046</v>
      </c>
      <c r="AJ6" s="13">
        <f>'Traffic_Reduced highway VMT'!AI55</f>
        <v>19891.138038200046</v>
      </c>
      <c r="AK6" s="13">
        <f>'Traffic_Reduced highway VMT'!AJ55</f>
        <v>19891.138038200046</v>
      </c>
      <c r="AL6" s="13">
        <f>'Traffic_Reduced highway VMT'!AK55</f>
        <v>19891.138038200046</v>
      </c>
      <c r="AM6" s="13">
        <f>'Traffic_Reduced highway VMT'!AL55</f>
        <v>19891.138038200046</v>
      </c>
      <c r="AN6" s="13">
        <f>'Traffic_Reduced highway VMT'!AM55</f>
        <v>19891.138038200046</v>
      </c>
      <c r="AO6" s="13">
        <f>'Traffic_Reduced highway VMT'!AN55</f>
        <v>14918.353528650037</v>
      </c>
      <c r="AP6" s="13"/>
      <c r="AQ6" s="13"/>
      <c r="AR6" s="13"/>
      <c r="AS6" s="13"/>
    </row>
    <row r="7" spans="1:45" s="65" customFormat="1" x14ac:dyDescent="0.25">
      <c r="A7" s="65" t="s">
        <v>113</v>
      </c>
      <c r="B7" s="65" t="s">
        <v>109</v>
      </c>
      <c r="C7" s="50">
        <f t="shared" si="1"/>
        <v>44496628.24821578</v>
      </c>
      <c r="D7" s="50">
        <f t="shared" si="2"/>
        <v>22022150.307742991</v>
      </c>
      <c r="E7" s="16">
        <f t="shared" si="3"/>
        <v>81692001.019720003</v>
      </c>
      <c r="F7" s="16">
        <f>AVERAGE(J7:AN7)</f>
        <v>2563093.745203129</v>
      </c>
      <c r="G7" s="13">
        <f>'Traffic_Reduced highway VMT'!F61</f>
        <v>0</v>
      </c>
      <c r="H7" s="13">
        <f>'Traffic_Reduced highway VMT'!G61</f>
        <v>0</v>
      </c>
      <c r="I7" s="13">
        <f>'Traffic_Reduced highway VMT'!H61</f>
        <v>0</v>
      </c>
      <c r="J7" s="13">
        <f>'Traffic_Reduced highway VMT'!I61</f>
        <v>0</v>
      </c>
      <c r="K7" s="13">
        <f>'Traffic_Reduced highway VMT'!J61</f>
        <v>0</v>
      </c>
      <c r="L7" s="13">
        <f>'Traffic_Reduced highway VMT'!K61</f>
        <v>447218.98368459835</v>
      </c>
      <c r="M7" s="13">
        <f>'Traffic_Reduced highway VMT'!L61</f>
        <v>1192583.9564922622</v>
      </c>
      <c r="N7" s="13">
        <f>'Traffic_Reduced highway VMT'!M61</f>
        <v>1788875.9347383934</v>
      </c>
      <c r="O7" s="13">
        <f>'Traffic_Reduced highway VMT'!N61</f>
        <v>2087021.9238614591</v>
      </c>
      <c r="P7" s="13">
        <f>'Traffic_Reduced highway VMT'!O61</f>
        <v>2385167.9129845244</v>
      </c>
      <c r="Q7" s="13">
        <f>'Traffic_Reduced highway VMT'!P61</f>
        <v>2981459.8912306558</v>
      </c>
      <c r="R7" s="13">
        <f>'Traffic_Reduced highway VMT'!Q61</f>
        <v>2981459.8912306558</v>
      </c>
      <c r="S7" s="13">
        <f>'Traffic_Reduced highway VMT'!R61</f>
        <v>2981459.8912306558</v>
      </c>
      <c r="T7" s="13">
        <f>'Traffic_Reduced highway VMT'!S61</f>
        <v>2981459.8912306558</v>
      </c>
      <c r="U7" s="13">
        <f>'Traffic_Reduced highway VMT'!T61</f>
        <v>2981459.8912306558</v>
      </c>
      <c r="V7" s="13">
        <f>'Traffic_Reduced highway VMT'!U61</f>
        <v>2981459.8912306558</v>
      </c>
      <c r="W7" s="13">
        <f>'Traffic_Reduced highway VMT'!V61</f>
        <v>2981459.8912306558</v>
      </c>
      <c r="X7" s="13">
        <f>'Traffic_Reduced highway VMT'!W61</f>
        <v>2981459.8912306558</v>
      </c>
      <c r="Y7" s="13">
        <f>'Traffic_Reduced highway VMT'!X61</f>
        <v>2981459.8912306558</v>
      </c>
      <c r="Z7" s="13">
        <f>'Traffic_Reduced highway VMT'!Y61</f>
        <v>2981459.8912306558</v>
      </c>
      <c r="AA7" s="13">
        <f>'Traffic_Reduced highway VMT'!Z61</f>
        <v>2981459.8912306558</v>
      </c>
      <c r="AB7" s="13">
        <f>'Traffic_Reduced highway VMT'!AA61</f>
        <v>2981459.8912306558</v>
      </c>
      <c r="AC7" s="13">
        <f>'Traffic_Reduced highway VMT'!AB61</f>
        <v>2981459.8912306558</v>
      </c>
      <c r="AD7" s="13">
        <f>'Traffic_Reduced highway VMT'!AC61</f>
        <v>2981459.8912306558</v>
      </c>
      <c r="AE7" s="13">
        <f>'Traffic_Reduced highway VMT'!AD61</f>
        <v>2981459.8912306558</v>
      </c>
      <c r="AF7" s="13">
        <f>'Traffic_Reduced highway VMT'!AE61</f>
        <v>2981459.8912306558</v>
      </c>
      <c r="AG7" s="13">
        <f>'Traffic_Reduced highway VMT'!AF61</f>
        <v>2981459.8912306558</v>
      </c>
      <c r="AH7" s="13">
        <f>'Traffic_Reduced highway VMT'!AG61</f>
        <v>2981459.8912306558</v>
      </c>
      <c r="AI7" s="13">
        <f>'Traffic_Reduced highway VMT'!AH61</f>
        <v>2981459.8912306558</v>
      </c>
      <c r="AJ7" s="13">
        <f>'Traffic_Reduced highway VMT'!AI61</f>
        <v>2981459.8912306558</v>
      </c>
      <c r="AK7" s="13">
        <f>'Traffic_Reduced highway VMT'!AJ61</f>
        <v>2981459.8912306558</v>
      </c>
      <c r="AL7" s="13">
        <f>'Traffic_Reduced highway VMT'!AK61</f>
        <v>2981459.8912306558</v>
      </c>
      <c r="AM7" s="13">
        <f>'Traffic_Reduced highway VMT'!AL61</f>
        <v>2981459.8912306558</v>
      </c>
      <c r="AN7" s="13">
        <f>'Traffic_Reduced highway VMT'!AM61</f>
        <v>2981459.8912306558</v>
      </c>
      <c r="AO7" s="13">
        <f>'Traffic_Reduced highway VMT'!AN61</f>
        <v>2236094.9184229919</v>
      </c>
      <c r="AP7" s="66"/>
      <c r="AQ7" s="66"/>
      <c r="AR7" s="66"/>
      <c r="AS7" s="66"/>
    </row>
    <row r="8" spans="1:45" s="65" customFormat="1" x14ac:dyDescent="0.25">
      <c r="A8" t="s">
        <v>114</v>
      </c>
      <c r="B8" s="65" t="s">
        <v>109</v>
      </c>
      <c r="C8" s="50">
        <f t="shared" si="1"/>
        <v>911960.59875056101</v>
      </c>
      <c r="D8" s="50">
        <f t="shared" si="2"/>
        <v>451345.0607626533</v>
      </c>
      <c r="E8" s="16">
        <f t="shared" si="3"/>
        <v>1674281.6050576272</v>
      </c>
      <c r="F8" s="16">
        <f t="shared" si="4"/>
        <v>52530.73319376709</v>
      </c>
      <c r="G8" s="13">
        <f>'Traffic_Reduced highway VMT'!F57</f>
        <v>0</v>
      </c>
      <c r="H8" s="13">
        <f>'Traffic_Reduced highway VMT'!G57</f>
        <v>0</v>
      </c>
      <c r="I8" s="13">
        <f>'Traffic_Reduced highway VMT'!H57</f>
        <v>0</v>
      </c>
      <c r="J8" s="13">
        <f>'Traffic_Reduced highway VMT'!I57</f>
        <v>0</v>
      </c>
      <c r="K8" s="13">
        <f>'Traffic_Reduced highway VMT'!J57</f>
        <v>0</v>
      </c>
      <c r="L8" s="13">
        <f>'Traffic_Reduced highway VMT'!K57</f>
        <v>9165.7752101694914</v>
      </c>
      <c r="M8" s="13">
        <f>'Traffic_Reduced highway VMT'!L57</f>
        <v>24442.067227118641</v>
      </c>
      <c r="N8" s="13">
        <f>'Traffic_Reduced highway VMT'!M57</f>
        <v>36663.100840677966</v>
      </c>
      <c r="O8" s="13">
        <f>'Traffic_Reduced highway VMT'!N57</f>
        <v>42773.617647457628</v>
      </c>
      <c r="P8" s="13">
        <f>'Traffic_Reduced highway VMT'!O57</f>
        <v>48884.134454237283</v>
      </c>
      <c r="Q8" s="13">
        <f>'Traffic_Reduced highway VMT'!P57</f>
        <v>61105.168067796607</v>
      </c>
      <c r="R8" s="13">
        <f>'Traffic_Reduced highway VMT'!Q57</f>
        <v>61105.168067796607</v>
      </c>
      <c r="S8" s="13">
        <f>'Traffic_Reduced highway VMT'!R57</f>
        <v>61105.168067796607</v>
      </c>
      <c r="T8" s="13">
        <f>'Traffic_Reduced highway VMT'!S57</f>
        <v>61105.168067796607</v>
      </c>
      <c r="U8" s="13">
        <f>'Traffic_Reduced highway VMT'!T57</f>
        <v>61105.168067796607</v>
      </c>
      <c r="V8" s="13">
        <f>'Traffic_Reduced highway VMT'!U57</f>
        <v>61105.168067796607</v>
      </c>
      <c r="W8" s="13">
        <f>'Traffic_Reduced highway VMT'!V57</f>
        <v>61105.168067796607</v>
      </c>
      <c r="X8" s="13">
        <f>'Traffic_Reduced highway VMT'!W57</f>
        <v>61105.168067796607</v>
      </c>
      <c r="Y8" s="13">
        <f>'Traffic_Reduced highway VMT'!X57</f>
        <v>61105.168067796607</v>
      </c>
      <c r="Z8" s="13">
        <f>'Traffic_Reduced highway VMT'!Y57</f>
        <v>61105.168067796607</v>
      </c>
      <c r="AA8" s="13">
        <f>'Traffic_Reduced highway VMT'!Z57</f>
        <v>61105.168067796607</v>
      </c>
      <c r="AB8" s="13">
        <f>'Traffic_Reduced highway VMT'!AA57</f>
        <v>61105.168067796607</v>
      </c>
      <c r="AC8" s="13">
        <f>'Traffic_Reduced highway VMT'!AB57</f>
        <v>61105.168067796607</v>
      </c>
      <c r="AD8" s="13">
        <f>'Traffic_Reduced highway VMT'!AC57</f>
        <v>61105.168067796607</v>
      </c>
      <c r="AE8" s="13">
        <f>'Traffic_Reduced highway VMT'!AD57</f>
        <v>61105.168067796607</v>
      </c>
      <c r="AF8" s="13">
        <f>'Traffic_Reduced highway VMT'!AE57</f>
        <v>61105.168067796607</v>
      </c>
      <c r="AG8" s="13">
        <f>'Traffic_Reduced highway VMT'!AF57</f>
        <v>61105.168067796607</v>
      </c>
      <c r="AH8" s="13">
        <f>'Traffic_Reduced highway VMT'!AG57</f>
        <v>61105.168067796607</v>
      </c>
      <c r="AI8" s="13">
        <f>'Traffic_Reduced highway VMT'!AH57</f>
        <v>61105.168067796607</v>
      </c>
      <c r="AJ8" s="13">
        <f>'Traffic_Reduced highway VMT'!AI57</f>
        <v>61105.168067796607</v>
      </c>
      <c r="AK8" s="13">
        <f>'Traffic_Reduced highway VMT'!AJ57</f>
        <v>61105.168067796607</v>
      </c>
      <c r="AL8" s="13">
        <f>'Traffic_Reduced highway VMT'!AK57</f>
        <v>61105.168067796607</v>
      </c>
      <c r="AM8" s="13">
        <f>'Traffic_Reduced highway VMT'!AL57</f>
        <v>61105.168067796607</v>
      </c>
      <c r="AN8" s="13">
        <f>'Traffic_Reduced highway VMT'!AM57</f>
        <v>61105.168067796607</v>
      </c>
      <c r="AO8" s="13">
        <f>'Traffic_Reduced highway VMT'!AN57</f>
        <v>45828.876050847459</v>
      </c>
      <c r="AP8" s="66"/>
      <c r="AQ8" s="66"/>
      <c r="AR8" s="66"/>
      <c r="AS8" s="66"/>
    </row>
    <row r="9" spans="1:45" s="65" customFormat="1" x14ac:dyDescent="0.25">
      <c r="A9" t="s">
        <v>115</v>
      </c>
      <c r="B9" s="65" t="s">
        <v>109</v>
      </c>
      <c r="C9" s="50">
        <f t="shared" si="1"/>
        <v>9780447.0010929722</v>
      </c>
      <c r="D9" s="50">
        <f t="shared" si="2"/>
        <v>4840512.2458603401</v>
      </c>
      <c r="E9" s="16">
        <f t="shared" si="3"/>
        <v>17956063.590473101</v>
      </c>
      <c r="F9" s="16">
        <f t="shared" si="4"/>
        <v>563373.08062880638</v>
      </c>
      <c r="G9" s="13">
        <f>'Traffic_Reduced highway VMT'!F58</f>
        <v>0</v>
      </c>
      <c r="H9" s="13">
        <f>'Traffic_Reduced highway VMT'!G58</f>
        <v>0</v>
      </c>
      <c r="I9" s="13">
        <f>'Traffic_Reduced highway VMT'!H58</f>
        <v>0</v>
      </c>
      <c r="J9" s="13">
        <f>'Traffic_Reduced highway VMT'!I58</f>
        <v>0</v>
      </c>
      <c r="K9" s="13">
        <f>'Traffic_Reduced highway VMT'!J58</f>
        <v>0</v>
      </c>
      <c r="L9" s="13">
        <f>'Traffic_Reduced highway VMT'!K58</f>
        <v>98299.61819602063</v>
      </c>
      <c r="M9" s="13">
        <f>'Traffic_Reduced highway VMT'!L58</f>
        <v>262132.31518938835</v>
      </c>
      <c r="N9" s="13">
        <f>'Traffic_Reduced highway VMT'!M58</f>
        <v>393198.47278408252</v>
      </c>
      <c r="O9" s="13">
        <f>'Traffic_Reduced highway VMT'!N58</f>
        <v>458731.55158142961</v>
      </c>
      <c r="P9" s="13">
        <f>'Traffic_Reduced highway VMT'!O58</f>
        <v>524264.6303787767</v>
      </c>
      <c r="Q9" s="13">
        <f>'Traffic_Reduced highway VMT'!P58</f>
        <v>655330.78797347087</v>
      </c>
      <c r="R9" s="13">
        <f>'Traffic_Reduced highway VMT'!Q58</f>
        <v>655330.78797347087</v>
      </c>
      <c r="S9" s="13">
        <f>'Traffic_Reduced highway VMT'!R58</f>
        <v>655330.78797347087</v>
      </c>
      <c r="T9" s="13">
        <f>'Traffic_Reduced highway VMT'!S58</f>
        <v>655330.78797347087</v>
      </c>
      <c r="U9" s="13">
        <f>'Traffic_Reduced highway VMT'!T58</f>
        <v>655330.78797347087</v>
      </c>
      <c r="V9" s="13">
        <f>'Traffic_Reduced highway VMT'!U58</f>
        <v>655330.78797347087</v>
      </c>
      <c r="W9" s="13">
        <f>'Traffic_Reduced highway VMT'!V58</f>
        <v>655330.78797347087</v>
      </c>
      <c r="X9" s="13">
        <f>'Traffic_Reduced highway VMT'!W58</f>
        <v>655330.78797347087</v>
      </c>
      <c r="Y9" s="13">
        <f>'Traffic_Reduced highway VMT'!X58</f>
        <v>655330.78797347087</v>
      </c>
      <c r="Z9" s="13">
        <f>'Traffic_Reduced highway VMT'!Y58</f>
        <v>655330.78797347087</v>
      </c>
      <c r="AA9" s="13">
        <f>'Traffic_Reduced highway VMT'!Z58</f>
        <v>655330.78797347087</v>
      </c>
      <c r="AB9" s="13">
        <f>'Traffic_Reduced highway VMT'!AA58</f>
        <v>655330.78797347087</v>
      </c>
      <c r="AC9" s="13">
        <f>'Traffic_Reduced highway VMT'!AB58</f>
        <v>655330.78797347087</v>
      </c>
      <c r="AD9" s="13">
        <f>'Traffic_Reduced highway VMT'!AC58</f>
        <v>655330.78797347087</v>
      </c>
      <c r="AE9" s="13">
        <f>'Traffic_Reduced highway VMT'!AD58</f>
        <v>655330.78797347087</v>
      </c>
      <c r="AF9" s="13">
        <f>'Traffic_Reduced highway VMT'!AE58</f>
        <v>655330.78797347087</v>
      </c>
      <c r="AG9" s="13">
        <f>'Traffic_Reduced highway VMT'!AF58</f>
        <v>655330.78797347087</v>
      </c>
      <c r="AH9" s="13">
        <f>'Traffic_Reduced highway VMT'!AG58</f>
        <v>655330.78797347087</v>
      </c>
      <c r="AI9" s="13">
        <f>'Traffic_Reduced highway VMT'!AH58</f>
        <v>655330.78797347087</v>
      </c>
      <c r="AJ9" s="13">
        <f>'Traffic_Reduced highway VMT'!AI58</f>
        <v>655330.78797347087</v>
      </c>
      <c r="AK9" s="13">
        <f>'Traffic_Reduced highway VMT'!AJ58</f>
        <v>655330.78797347087</v>
      </c>
      <c r="AL9" s="13">
        <f>'Traffic_Reduced highway VMT'!AK58</f>
        <v>655330.78797347087</v>
      </c>
      <c r="AM9" s="13">
        <f>'Traffic_Reduced highway VMT'!AL58</f>
        <v>655330.78797347087</v>
      </c>
      <c r="AN9" s="13">
        <f>'Traffic_Reduced highway VMT'!AM58</f>
        <v>655330.78797347087</v>
      </c>
      <c r="AO9" s="13">
        <f>'Traffic_Reduced highway VMT'!AN58</f>
        <v>491498.09098010318</v>
      </c>
      <c r="AP9" s="66"/>
      <c r="AQ9" s="66"/>
      <c r="AR9" s="66"/>
      <c r="AS9" s="66"/>
    </row>
    <row r="10" spans="1:45" s="65" customFormat="1" x14ac:dyDescent="0.25">
      <c r="A10" t="s">
        <v>116</v>
      </c>
      <c r="B10" s="65" t="s">
        <v>109</v>
      </c>
      <c r="C10" s="50">
        <f t="shared" si="1"/>
        <v>2643364.0543494523</v>
      </c>
      <c r="D10" s="50">
        <f t="shared" si="2"/>
        <v>1308246.5529352271</v>
      </c>
      <c r="E10" s="16">
        <f t="shared" si="3"/>
        <v>4852990.1595873237</v>
      </c>
      <c r="F10" s="16">
        <f t="shared" si="4"/>
        <v>152262.99476454224</v>
      </c>
      <c r="G10" s="13">
        <f>'Traffic_Reduced highway VMT'!F59</f>
        <v>0</v>
      </c>
      <c r="H10" s="13">
        <f>'Traffic_Reduced highway VMT'!G59</f>
        <v>0</v>
      </c>
      <c r="I10" s="13">
        <f>'Traffic_Reduced highway VMT'!H59</f>
        <v>0</v>
      </c>
      <c r="J10" s="13">
        <f>'Traffic_Reduced highway VMT'!I59</f>
        <v>0</v>
      </c>
      <c r="K10" s="13">
        <f>'Traffic_Reduced highway VMT'!J59</f>
        <v>0</v>
      </c>
      <c r="L10" s="13">
        <f>'Traffic_Reduced highway VMT'!K59</f>
        <v>26567.464377302873</v>
      </c>
      <c r="M10" s="13">
        <f>'Traffic_Reduced highway VMT'!L59</f>
        <v>70846.571672807651</v>
      </c>
      <c r="N10" s="13">
        <f>'Traffic_Reduced highway VMT'!M59</f>
        <v>106269.85750921149</v>
      </c>
      <c r="O10" s="13">
        <f>'Traffic_Reduced highway VMT'!N59</f>
        <v>123981.50042741341</v>
      </c>
      <c r="P10" s="13">
        <f>'Traffic_Reduced highway VMT'!O59</f>
        <v>141693.1433456153</v>
      </c>
      <c r="Q10" s="13">
        <f>'Traffic_Reduced highway VMT'!P59</f>
        <v>177116.42918201914</v>
      </c>
      <c r="R10" s="13">
        <f>'Traffic_Reduced highway VMT'!Q59</f>
        <v>177116.42918201914</v>
      </c>
      <c r="S10" s="13">
        <f>'Traffic_Reduced highway VMT'!R59</f>
        <v>177116.42918201914</v>
      </c>
      <c r="T10" s="13">
        <f>'Traffic_Reduced highway VMT'!S59</f>
        <v>177116.42918201914</v>
      </c>
      <c r="U10" s="13">
        <f>'Traffic_Reduced highway VMT'!T59</f>
        <v>177116.42918201914</v>
      </c>
      <c r="V10" s="13">
        <f>'Traffic_Reduced highway VMT'!U59</f>
        <v>177116.42918201914</v>
      </c>
      <c r="W10" s="13">
        <f>'Traffic_Reduced highway VMT'!V59</f>
        <v>177116.42918201914</v>
      </c>
      <c r="X10" s="13">
        <f>'Traffic_Reduced highway VMT'!W59</f>
        <v>177116.42918201914</v>
      </c>
      <c r="Y10" s="13">
        <f>'Traffic_Reduced highway VMT'!X59</f>
        <v>177116.42918201914</v>
      </c>
      <c r="Z10" s="13">
        <f>'Traffic_Reduced highway VMT'!Y59</f>
        <v>177116.42918201914</v>
      </c>
      <c r="AA10" s="13">
        <f>'Traffic_Reduced highway VMT'!Z59</f>
        <v>177116.42918201914</v>
      </c>
      <c r="AB10" s="13">
        <f>'Traffic_Reduced highway VMT'!AA59</f>
        <v>177116.42918201914</v>
      </c>
      <c r="AC10" s="13">
        <f>'Traffic_Reduced highway VMT'!AB59</f>
        <v>177116.42918201914</v>
      </c>
      <c r="AD10" s="13">
        <f>'Traffic_Reduced highway VMT'!AC59</f>
        <v>177116.42918201914</v>
      </c>
      <c r="AE10" s="13">
        <f>'Traffic_Reduced highway VMT'!AD59</f>
        <v>177116.42918201914</v>
      </c>
      <c r="AF10" s="13">
        <f>'Traffic_Reduced highway VMT'!AE59</f>
        <v>177116.42918201914</v>
      </c>
      <c r="AG10" s="13">
        <f>'Traffic_Reduced highway VMT'!AF59</f>
        <v>177116.42918201914</v>
      </c>
      <c r="AH10" s="13">
        <f>'Traffic_Reduced highway VMT'!AG59</f>
        <v>177116.42918201914</v>
      </c>
      <c r="AI10" s="13">
        <f>'Traffic_Reduced highway VMT'!AH59</f>
        <v>177116.42918201914</v>
      </c>
      <c r="AJ10" s="13">
        <f>'Traffic_Reduced highway VMT'!AI59</f>
        <v>177116.42918201914</v>
      </c>
      <c r="AK10" s="13">
        <f>'Traffic_Reduced highway VMT'!AJ59</f>
        <v>177116.42918201914</v>
      </c>
      <c r="AL10" s="13">
        <f>'Traffic_Reduced highway VMT'!AK59</f>
        <v>177116.42918201914</v>
      </c>
      <c r="AM10" s="13">
        <f>'Traffic_Reduced highway VMT'!AL59</f>
        <v>177116.42918201914</v>
      </c>
      <c r="AN10" s="13">
        <f>'Traffic_Reduced highway VMT'!AM59</f>
        <v>177116.42918201914</v>
      </c>
      <c r="AO10" s="13">
        <f>'Traffic_Reduced highway VMT'!AN59</f>
        <v>132837.32188651437</v>
      </c>
      <c r="AP10" s="66"/>
      <c r="AQ10" s="66"/>
      <c r="AR10" s="66"/>
      <c r="AS10" s="66"/>
    </row>
    <row r="11" spans="1:45" x14ac:dyDescent="0.25">
      <c r="A11" t="s">
        <v>117</v>
      </c>
      <c r="B11" t="s">
        <v>118</v>
      </c>
      <c r="C11" s="50">
        <f t="shared" ref="C11:C16" si="5">-NPV($C$1, G11:AO11)</f>
        <v>206360.81963290935</v>
      </c>
      <c r="D11" s="50">
        <f t="shared" ref="D11:D16" si="6">-NPV($D$1, G11:AO11)</f>
        <v>108927.08810760168</v>
      </c>
      <c r="E11" s="16">
        <f t="shared" ref="E11:E16" si="7">-SUM(G11:AO11)</f>
        <v>363701.30225435033</v>
      </c>
      <c r="F11" s="16">
        <f>-AVERAGE(J11:AN11)</f>
        <v>11438.559653030974</v>
      </c>
      <c r="G11" s="13">
        <v>0</v>
      </c>
      <c r="H11" s="13">
        <v>0</v>
      </c>
      <c r="I11" s="13">
        <v>0</v>
      </c>
      <c r="J11" s="13">
        <f>'Traffic_Reduced port VMT'!F42</f>
        <v>0</v>
      </c>
      <c r="K11" s="13">
        <f>'Traffic_Reduced port VMT'!G42</f>
        <v>-2721.5100378787888</v>
      </c>
      <c r="L11" s="13">
        <f>'Traffic_Reduced port VMT'!H42</f>
        <v>-11918.260151515156</v>
      </c>
      <c r="M11" s="13">
        <f>'Traffic_Reduced port VMT'!I42</f>
        <v>-12141.270680520231</v>
      </c>
      <c r="N11" s="13">
        <f>'Traffic_Reduced port VMT'!J42</f>
        <v>-12141.270680520231</v>
      </c>
      <c r="O11" s="13">
        <f>'Traffic_Reduced port VMT'!K42</f>
        <v>-12141.270680520231</v>
      </c>
      <c r="P11" s="13">
        <f>'Traffic_Reduced port VMT'!L42</f>
        <v>-12141.270680520231</v>
      </c>
      <c r="Q11" s="13">
        <f>'Traffic_Reduced port VMT'!M42</f>
        <v>-12141.270680520231</v>
      </c>
      <c r="R11" s="13">
        <f>'Traffic_Reduced port VMT'!N42</f>
        <v>-12141.270680520231</v>
      </c>
      <c r="S11" s="13">
        <f>'Traffic_Reduced port VMT'!O42</f>
        <v>-12141.270680520231</v>
      </c>
      <c r="T11" s="13">
        <f>'Traffic_Reduced port VMT'!P42</f>
        <v>-12141.270680520231</v>
      </c>
      <c r="U11" s="13">
        <f>'Traffic_Reduced port VMT'!Q42</f>
        <v>-12141.270680520231</v>
      </c>
      <c r="V11" s="13">
        <f>'Traffic_Reduced port VMT'!R42</f>
        <v>-12141.270680520231</v>
      </c>
      <c r="W11" s="13">
        <f>'Traffic_Reduced port VMT'!S42</f>
        <v>-12141.270680520231</v>
      </c>
      <c r="X11" s="13">
        <f>'Traffic_Reduced port VMT'!T42</f>
        <v>-12141.270680520231</v>
      </c>
      <c r="Y11" s="13">
        <f>'Traffic_Reduced port VMT'!U42</f>
        <v>-12141.270680520231</v>
      </c>
      <c r="Z11" s="13">
        <f>'Traffic_Reduced port VMT'!V42</f>
        <v>-12141.270680520231</v>
      </c>
      <c r="AA11" s="13">
        <f>'Traffic_Reduced port VMT'!W42</f>
        <v>-12141.270680520231</v>
      </c>
      <c r="AB11" s="13">
        <f>'Traffic_Reduced port VMT'!X42</f>
        <v>-12141.270680520231</v>
      </c>
      <c r="AC11" s="13">
        <f>'Traffic_Reduced port VMT'!Y42</f>
        <v>-12141.270680520231</v>
      </c>
      <c r="AD11" s="13">
        <f>'Traffic_Reduced port VMT'!Z42</f>
        <v>-12141.270680520231</v>
      </c>
      <c r="AE11" s="13">
        <f>'Traffic_Reduced port VMT'!AA42</f>
        <v>-12141.270680520231</v>
      </c>
      <c r="AF11" s="13">
        <f>'Traffic_Reduced port VMT'!AB42</f>
        <v>-12141.270680520231</v>
      </c>
      <c r="AG11" s="13">
        <f>'Traffic_Reduced port VMT'!AC42</f>
        <v>-12141.270680520231</v>
      </c>
      <c r="AH11" s="13">
        <f>'Traffic_Reduced port VMT'!AD42</f>
        <v>-12141.270680520231</v>
      </c>
      <c r="AI11" s="13">
        <f>'Traffic_Reduced port VMT'!AE42</f>
        <v>-12141.270680520231</v>
      </c>
      <c r="AJ11" s="13">
        <f>'Traffic_Reduced port VMT'!AF42</f>
        <v>-12141.270680520231</v>
      </c>
      <c r="AK11" s="13">
        <f>'Traffic_Reduced port VMT'!AG42</f>
        <v>-12141.270680520231</v>
      </c>
      <c r="AL11" s="13">
        <f>'Traffic_Reduced port VMT'!AH42</f>
        <v>-12141.270680520231</v>
      </c>
      <c r="AM11" s="13">
        <f>'Traffic_Reduced port VMT'!AI42</f>
        <v>-12141.270680520231</v>
      </c>
      <c r="AN11" s="13">
        <f>'Traffic_Reduced port VMT'!AJ42</f>
        <v>-12141.270680520231</v>
      </c>
      <c r="AO11" s="13">
        <f>'Traffic_Reduced port VMT'!AK42</f>
        <v>-9105.9530103901725</v>
      </c>
    </row>
    <row r="12" spans="1:45" x14ac:dyDescent="0.25">
      <c r="A12" t="s">
        <v>119</v>
      </c>
      <c r="B12" t="s">
        <v>118</v>
      </c>
      <c r="C12" s="50">
        <f t="shared" si="5"/>
        <v>29543.861511118695</v>
      </c>
      <c r="D12" s="50">
        <f t="shared" si="6"/>
        <v>15594.659933920897</v>
      </c>
      <c r="E12" s="16">
        <f t="shared" si="7"/>
        <v>52069.675456466677</v>
      </c>
      <c r="F12" s="16">
        <f t="shared" ref="F12:F15" si="8">-AVERAGE(J12:AN12)</f>
        <v>1637.6132973156896</v>
      </c>
      <c r="G12" s="13">
        <v>0</v>
      </c>
      <c r="H12" s="13">
        <v>0</v>
      </c>
      <c r="I12" s="13">
        <v>0</v>
      </c>
      <c r="J12" s="13">
        <f>'Traffic_Reduced port VMT'!F43</f>
        <v>0</v>
      </c>
      <c r="K12" s="13">
        <f>'Traffic_Reduced port VMT'!G43</f>
        <v>-389.62781696273089</v>
      </c>
      <c r="L12" s="13">
        <f>'Traffic_Reduced port VMT'!H43</f>
        <v>-1706.2901184256361</v>
      </c>
      <c r="M12" s="13">
        <f>'Traffic_Reduced port VMT'!I43</f>
        <v>-1738.217652907073</v>
      </c>
      <c r="N12" s="13">
        <f>'Traffic_Reduced port VMT'!J43</f>
        <v>-1738.217652907073</v>
      </c>
      <c r="O12" s="13">
        <f>'Traffic_Reduced port VMT'!K43</f>
        <v>-1738.217652907073</v>
      </c>
      <c r="P12" s="13">
        <f>'Traffic_Reduced port VMT'!L43</f>
        <v>-1738.217652907073</v>
      </c>
      <c r="Q12" s="13">
        <f>'Traffic_Reduced port VMT'!M43</f>
        <v>-1738.217652907073</v>
      </c>
      <c r="R12" s="13">
        <f>'Traffic_Reduced port VMT'!N43</f>
        <v>-1738.217652907073</v>
      </c>
      <c r="S12" s="13">
        <f>'Traffic_Reduced port VMT'!O43</f>
        <v>-1738.217652907073</v>
      </c>
      <c r="T12" s="13">
        <f>'Traffic_Reduced port VMT'!P43</f>
        <v>-1738.217652907073</v>
      </c>
      <c r="U12" s="13">
        <f>'Traffic_Reduced port VMT'!Q43</f>
        <v>-1738.217652907073</v>
      </c>
      <c r="V12" s="13">
        <f>'Traffic_Reduced port VMT'!R43</f>
        <v>-1738.217652907073</v>
      </c>
      <c r="W12" s="13">
        <f>'Traffic_Reduced port VMT'!S43</f>
        <v>-1738.217652907073</v>
      </c>
      <c r="X12" s="13">
        <f>'Traffic_Reduced port VMT'!T43</f>
        <v>-1738.217652907073</v>
      </c>
      <c r="Y12" s="13">
        <f>'Traffic_Reduced port VMT'!U43</f>
        <v>-1738.217652907073</v>
      </c>
      <c r="Z12" s="13">
        <f>'Traffic_Reduced port VMT'!V43</f>
        <v>-1738.217652907073</v>
      </c>
      <c r="AA12" s="13">
        <f>'Traffic_Reduced port VMT'!W43</f>
        <v>-1738.217652907073</v>
      </c>
      <c r="AB12" s="13">
        <f>'Traffic_Reduced port VMT'!X43</f>
        <v>-1738.217652907073</v>
      </c>
      <c r="AC12" s="13">
        <f>'Traffic_Reduced port VMT'!Y43</f>
        <v>-1738.217652907073</v>
      </c>
      <c r="AD12" s="13">
        <f>'Traffic_Reduced port VMT'!Z43</f>
        <v>-1738.217652907073</v>
      </c>
      <c r="AE12" s="13">
        <f>'Traffic_Reduced port VMT'!AA43</f>
        <v>-1738.217652907073</v>
      </c>
      <c r="AF12" s="13">
        <f>'Traffic_Reduced port VMT'!AB43</f>
        <v>-1738.217652907073</v>
      </c>
      <c r="AG12" s="13">
        <f>'Traffic_Reduced port VMT'!AC43</f>
        <v>-1738.217652907073</v>
      </c>
      <c r="AH12" s="13">
        <f>'Traffic_Reduced port VMT'!AD43</f>
        <v>-1738.217652907073</v>
      </c>
      <c r="AI12" s="13">
        <f>'Traffic_Reduced port VMT'!AE43</f>
        <v>-1738.217652907073</v>
      </c>
      <c r="AJ12" s="13">
        <f>'Traffic_Reduced port VMT'!AF43</f>
        <v>-1738.217652907073</v>
      </c>
      <c r="AK12" s="13">
        <f>'Traffic_Reduced port VMT'!AG43</f>
        <v>-1738.217652907073</v>
      </c>
      <c r="AL12" s="13">
        <f>'Traffic_Reduced port VMT'!AH43</f>
        <v>-1738.217652907073</v>
      </c>
      <c r="AM12" s="13">
        <f>'Traffic_Reduced port VMT'!AI43</f>
        <v>-1738.217652907073</v>
      </c>
      <c r="AN12" s="13">
        <f>'Traffic_Reduced port VMT'!AJ43</f>
        <v>-1738.217652907073</v>
      </c>
      <c r="AO12" s="13">
        <f>'Traffic_Reduced port VMT'!AK43</f>
        <v>-1303.6632396803045</v>
      </c>
    </row>
    <row r="13" spans="1:45" x14ac:dyDescent="0.25">
      <c r="A13" t="s">
        <v>120</v>
      </c>
      <c r="B13" t="s">
        <v>118</v>
      </c>
      <c r="C13" s="50">
        <f t="shared" si="5"/>
        <v>12495.365895683655</v>
      </c>
      <c r="D13" s="50">
        <f t="shared" si="6"/>
        <v>6465.0077448576312</v>
      </c>
      <c r="E13" s="16">
        <f t="shared" si="7"/>
        <v>22378.63301216629</v>
      </c>
      <c r="F13" s="16">
        <f t="shared" si="8"/>
        <v>702.50178596796707</v>
      </c>
      <c r="G13" s="13">
        <v>0</v>
      </c>
      <c r="H13" s="13">
        <v>0</v>
      </c>
      <c r="I13" s="13">
        <v>0</v>
      </c>
      <c r="J13" s="13">
        <f>'Traffic_Reduced port VMT'!F44</f>
        <v>0</v>
      </c>
      <c r="K13" s="13">
        <f>'Traffic_Reduced port VMT'!G44</f>
        <v>-143.58525285984857</v>
      </c>
      <c r="L13" s="13">
        <f>'Traffic_Reduced port VMT'!H44</f>
        <v>-639.99168972424275</v>
      </c>
      <c r="M13" s="13">
        <f>'Traffic_Reduced port VMT'!I44</f>
        <v>-662.61525686642744</v>
      </c>
      <c r="N13" s="13">
        <f>'Traffic_Reduced port VMT'!J44</f>
        <v>-674.13624084683397</v>
      </c>
      <c r="O13" s="13">
        <f>'Traffic_Reduced port VMT'!K44</f>
        <v>-689.73717261829847</v>
      </c>
      <c r="P13" s="13">
        <f>'Traffic_Reduced port VMT'!L44</f>
        <v>-694.59368089050656</v>
      </c>
      <c r="Q13" s="13">
        <f>'Traffic_Reduced port VMT'!M44</f>
        <v>-699.45018916271465</v>
      </c>
      <c r="R13" s="13">
        <f>'Traffic_Reduced port VMT'!N44</f>
        <v>-704.30669743492274</v>
      </c>
      <c r="S13" s="13">
        <f>'Traffic_Reduced port VMT'!O44</f>
        <v>-709.16320570713083</v>
      </c>
      <c r="T13" s="13">
        <f>'Traffic_Reduced port VMT'!P44</f>
        <v>-714.01971397933892</v>
      </c>
      <c r="U13" s="13">
        <f>'Traffic_Reduced port VMT'!Q44</f>
        <v>-723.73273052375509</v>
      </c>
      <c r="V13" s="13">
        <f>'Traffic_Reduced port VMT'!R44</f>
        <v>-728.58923879596318</v>
      </c>
      <c r="W13" s="13">
        <f>'Traffic_Reduced port VMT'!S44</f>
        <v>-733.44574706817139</v>
      </c>
      <c r="X13" s="13">
        <f>'Traffic_Reduced port VMT'!T44</f>
        <v>-738.30225534037936</v>
      </c>
      <c r="Y13" s="13">
        <f>'Traffic_Reduced port VMT'!U44</f>
        <v>-743.15876361258756</v>
      </c>
      <c r="Z13" s="13">
        <f>'Traffic_Reduced port VMT'!V44</f>
        <v>-752.87178015700374</v>
      </c>
      <c r="AA13" s="13">
        <f>'Traffic_Reduced port VMT'!W44</f>
        <v>-757.72828842921172</v>
      </c>
      <c r="AB13" s="13">
        <f>'Traffic_Reduced port VMT'!X44</f>
        <v>-762.58479670141992</v>
      </c>
      <c r="AC13" s="13">
        <f>'Traffic_Reduced port VMT'!Y44</f>
        <v>-767.44130497362789</v>
      </c>
      <c r="AD13" s="13">
        <f>'Traffic_Reduced port VMT'!Z44</f>
        <v>-772.2978132458361</v>
      </c>
      <c r="AE13" s="13">
        <f>'Traffic_Reduced port VMT'!AA44</f>
        <v>-782.01082979025227</v>
      </c>
      <c r="AF13" s="13">
        <f>'Traffic_Reduced port VMT'!AB44</f>
        <v>-786.86733806246025</v>
      </c>
      <c r="AG13" s="13">
        <f>'Traffic_Reduced port VMT'!AC44</f>
        <v>-791.72384633466845</v>
      </c>
      <c r="AH13" s="13">
        <f>'Traffic_Reduced port VMT'!AD44</f>
        <v>-796.58035460687643</v>
      </c>
      <c r="AI13" s="13">
        <f>'Traffic_Reduced port VMT'!AE44</f>
        <v>-801.43686287908463</v>
      </c>
      <c r="AJ13" s="13">
        <f>'Traffic_Reduced port VMT'!AF44</f>
        <v>-801.43686287908463</v>
      </c>
      <c r="AK13" s="13">
        <f>'Traffic_Reduced port VMT'!AG44</f>
        <v>-801.43686287908463</v>
      </c>
      <c r="AL13" s="13">
        <f>'Traffic_Reduced port VMT'!AH44</f>
        <v>-801.43686287908463</v>
      </c>
      <c r="AM13" s="13">
        <f>'Traffic_Reduced port VMT'!AI44</f>
        <v>-801.43686287908463</v>
      </c>
      <c r="AN13" s="13">
        <f>'Traffic_Reduced port VMT'!AJ44</f>
        <v>-801.43686287908463</v>
      </c>
      <c r="AO13" s="13">
        <f>'Traffic_Reduced port VMT'!AK44</f>
        <v>-601.07764715931353</v>
      </c>
    </row>
    <row r="14" spans="1:45" x14ac:dyDescent="0.25">
      <c r="A14" t="s">
        <v>121</v>
      </c>
      <c r="B14" t="s">
        <v>118</v>
      </c>
      <c r="C14" s="50">
        <f t="shared" si="5"/>
        <v>31140.122582707772</v>
      </c>
      <c r="D14" s="50">
        <f t="shared" si="6"/>
        <v>16437.242700828985</v>
      </c>
      <c r="E14" s="16">
        <f t="shared" si="7"/>
        <v>54883.011008765992</v>
      </c>
      <c r="F14" s="16">
        <f t="shared" si="8"/>
        <v>1726.0938893276023</v>
      </c>
      <c r="G14" s="13">
        <v>0</v>
      </c>
      <c r="H14" s="13">
        <v>0</v>
      </c>
      <c r="I14" s="13">
        <v>0</v>
      </c>
      <c r="J14" s="13">
        <f>'Traffic_Reduced port VMT'!F45</f>
        <v>0</v>
      </c>
      <c r="K14" s="13">
        <f>'Traffic_Reduced port VMT'!G45</f>
        <v>-410.67949012982103</v>
      </c>
      <c r="L14" s="13">
        <f>'Traffic_Reduced port VMT'!H45</f>
        <v>-1798.4813335738297</v>
      </c>
      <c r="M14" s="13">
        <f>'Traffic_Reduced port VMT'!I45</f>
        <v>-1832.1339194804279</v>
      </c>
      <c r="N14" s="13">
        <f>'Traffic_Reduced port VMT'!J45</f>
        <v>-1832.1339194804279</v>
      </c>
      <c r="O14" s="13">
        <f>'Traffic_Reduced port VMT'!K45</f>
        <v>-1832.1339194804279</v>
      </c>
      <c r="P14" s="13">
        <f>'Traffic_Reduced port VMT'!L45</f>
        <v>-1832.1339194804279</v>
      </c>
      <c r="Q14" s="13">
        <f>'Traffic_Reduced port VMT'!M45</f>
        <v>-1832.1339194804279</v>
      </c>
      <c r="R14" s="13">
        <f>'Traffic_Reduced port VMT'!N45</f>
        <v>-1832.1339194804279</v>
      </c>
      <c r="S14" s="13">
        <f>'Traffic_Reduced port VMT'!O45</f>
        <v>-1832.1339194804279</v>
      </c>
      <c r="T14" s="13">
        <f>'Traffic_Reduced port VMT'!P45</f>
        <v>-1832.1339194804279</v>
      </c>
      <c r="U14" s="13">
        <f>'Traffic_Reduced port VMT'!Q45</f>
        <v>-1832.1339194804279</v>
      </c>
      <c r="V14" s="13">
        <f>'Traffic_Reduced port VMT'!R45</f>
        <v>-1832.1339194804279</v>
      </c>
      <c r="W14" s="13">
        <f>'Traffic_Reduced port VMT'!S45</f>
        <v>-1832.1339194804279</v>
      </c>
      <c r="X14" s="13">
        <f>'Traffic_Reduced port VMT'!T45</f>
        <v>-1832.1339194804279</v>
      </c>
      <c r="Y14" s="13">
        <f>'Traffic_Reduced port VMT'!U45</f>
        <v>-1832.1339194804279</v>
      </c>
      <c r="Z14" s="13">
        <f>'Traffic_Reduced port VMT'!V45</f>
        <v>-1832.1339194804279</v>
      </c>
      <c r="AA14" s="13">
        <f>'Traffic_Reduced port VMT'!W45</f>
        <v>-1832.1339194804279</v>
      </c>
      <c r="AB14" s="13">
        <f>'Traffic_Reduced port VMT'!X45</f>
        <v>-1832.1339194804279</v>
      </c>
      <c r="AC14" s="13">
        <f>'Traffic_Reduced port VMT'!Y45</f>
        <v>-1832.1339194804279</v>
      </c>
      <c r="AD14" s="13">
        <f>'Traffic_Reduced port VMT'!Z45</f>
        <v>-1832.1339194804279</v>
      </c>
      <c r="AE14" s="13">
        <f>'Traffic_Reduced port VMT'!AA45</f>
        <v>-1832.1339194804279</v>
      </c>
      <c r="AF14" s="13">
        <f>'Traffic_Reduced port VMT'!AB45</f>
        <v>-1832.1339194804279</v>
      </c>
      <c r="AG14" s="13">
        <f>'Traffic_Reduced port VMT'!AC45</f>
        <v>-1832.1339194804279</v>
      </c>
      <c r="AH14" s="13">
        <f>'Traffic_Reduced port VMT'!AD45</f>
        <v>-1832.1339194804279</v>
      </c>
      <c r="AI14" s="13">
        <f>'Traffic_Reduced port VMT'!AE45</f>
        <v>-1832.1339194804279</v>
      </c>
      <c r="AJ14" s="13">
        <f>'Traffic_Reduced port VMT'!AF45</f>
        <v>-1832.1339194804279</v>
      </c>
      <c r="AK14" s="13">
        <f>'Traffic_Reduced port VMT'!AG45</f>
        <v>-1832.1339194804279</v>
      </c>
      <c r="AL14" s="13">
        <f>'Traffic_Reduced port VMT'!AH45</f>
        <v>-1832.1339194804279</v>
      </c>
      <c r="AM14" s="13">
        <f>'Traffic_Reduced port VMT'!AI45</f>
        <v>-1832.1339194804279</v>
      </c>
      <c r="AN14" s="13">
        <f>'Traffic_Reduced port VMT'!AJ45</f>
        <v>-1832.1339194804279</v>
      </c>
      <c r="AO14" s="13">
        <f>'Traffic_Reduced port VMT'!AK45</f>
        <v>-1374.100439610321</v>
      </c>
    </row>
    <row r="15" spans="1:45" x14ac:dyDescent="0.25">
      <c r="A15" t="s">
        <v>122</v>
      </c>
      <c r="B15" t="s">
        <v>118</v>
      </c>
      <c r="C15" s="50">
        <f t="shared" si="5"/>
        <v>53958.736755269456</v>
      </c>
      <c r="D15" s="50">
        <f t="shared" si="6"/>
        <v>28481.996161730673</v>
      </c>
      <c r="E15" s="16">
        <f t="shared" si="7"/>
        <v>95099.75227274932</v>
      </c>
      <c r="F15" s="16">
        <f t="shared" si="8"/>
        <v>2990.9273973387303</v>
      </c>
      <c r="G15" s="13">
        <v>0</v>
      </c>
      <c r="H15" s="13">
        <v>0</v>
      </c>
      <c r="I15" s="13">
        <v>0</v>
      </c>
      <c r="J15" s="13">
        <f>'Traffic_Reduced port VMT'!F46</f>
        <v>0</v>
      </c>
      <c r="K15" s="13">
        <f>'Traffic_Reduced port VMT'!G46</f>
        <v>-711.61397775000023</v>
      </c>
      <c r="L15" s="13">
        <f>'Traffic_Reduced port VMT'!H46</f>
        <v>-3116.358343800001</v>
      </c>
      <c r="M15" s="13">
        <f>'Traffic_Reduced port VMT'!I46</f>
        <v>-3174.6706069982383</v>
      </c>
      <c r="N15" s="13">
        <f>'Traffic_Reduced port VMT'!J46</f>
        <v>-3174.6706069982383</v>
      </c>
      <c r="O15" s="13">
        <f>'Traffic_Reduced port VMT'!K46</f>
        <v>-3174.6706069982383</v>
      </c>
      <c r="P15" s="13">
        <f>'Traffic_Reduced port VMT'!L46</f>
        <v>-3174.6706069982383</v>
      </c>
      <c r="Q15" s="13">
        <f>'Traffic_Reduced port VMT'!M46</f>
        <v>-3174.6706069982383</v>
      </c>
      <c r="R15" s="13">
        <f>'Traffic_Reduced port VMT'!N46</f>
        <v>-3174.6706069982383</v>
      </c>
      <c r="S15" s="13">
        <f>'Traffic_Reduced port VMT'!O46</f>
        <v>-3174.6706069982383</v>
      </c>
      <c r="T15" s="13">
        <f>'Traffic_Reduced port VMT'!P46</f>
        <v>-3174.6706069982383</v>
      </c>
      <c r="U15" s="13">
        <f>'Traffic_Reduced port VMT'!Q46</f>
        <v>-3174.6706069982383</v>
      </c>
      <c r="V15" s="13">
        <f>'Traffic_Reduced port VMT'!R46</f>
        <v>-3174.6706069982383</v>
      </c>
      <c r="W15" s="13">
        <f>'Traffic_Reduced port VMT'!S46</f>
        <v>-3174.6706069982383</v>
      </c>
      <c r="X15" s="13">
        <f>'Traffic_Reduced port VMT'!T46</f>
        <v>-3174.6706069982383</v>
      </c>
      <c r="Y15" s="13">
        <f>'Traffic_Reduced port VMT'!U46</f>
        <v>-3174.6706069982383</v>
      </c>
      <c r="Z15" s="13">
        <f>'Traffic_Reduced port VMT'!V46</f>
        <v>-3174.6706069982383</v>
      </c>
      <c r="AA15" s="13">
        <f>'Traffic_Reduced port VMT'!W46</f>
        <v>-3174.6706069982383</v>
      </c>
      <c r="AB15" s="13">
        <f>'Traffic_Reduced port VMT'!X46</f>
        <v>-3174.6706069982383</v>
      </c>
      <c r="AC15" s="13">
        <f>'Traffic_Reduced port VMT'!Y46</f>
        <v>-3174.6706069982383</v>
      </c>
      <c r="AD15" s="13">
        <f>'Traffic_Reduced port VMT'!Z46</f>
        <v>-3174.6706069982383</v>
      </c>
      <c r="AE15" s="13">
        <f>'Traffic_Reduced port VMT'!AA46</f>
        <v>-3174.6706069982383</v>
      </c>
      <c r="AF15" s="13">
        <f>'Traffic_Reduced port VMT'!AB46</f>
        <v>-3174.6706069982383</v>
      </c>
      <c r="AG15" s="13">
        <f>'Traffic_Reduced port VMT'!AC46</f>
        <v>-3174.6706069982383</v>
      </c>
      <c r="AH15" s="13">
        <f>'Traffic_Reduced port VMT'!AD46</f>
        <v>-3174.6706069982383</v>
      </c>
      <c r="AI15" s="13">
        <f>'Traffic_Reduced port VMT'!AE46</f>
        <v>-3174.6706069982383</v>
      </c>
      <c r="AJ15" s="13">
        <f>'Traffic_Reduced port VMT'!AF46</f>
        <v>-3174.6706069982383</v>
      </c>
      <c r="AK15" s="13">
        <f>'Traffic_Reduced port VMT'!AG46</f>
        <v>-3174.6706069982383</v>
      </c>
      <c r="AL15" s="13">
        <f>'Traffic_Reduced port VMT'!AH46</f>
        <v>-3174.6706069982383</v>
      </c>
      <c r="AM15" s="13">
        <f>'Traffic_Reduced port VMT'!AI46</f>
        <v>-3174.6706069982383</v>
      </c>
      <c r="AN15" s="13">
        <f>'Traffic_Reduced port VMT'!AJ46</f>
        <v>-3174.6706069982383</v>
      </c>
      <c r="AO15" s="13">
        <f>'Traffic_Reduced port VMT'!AK46</f>
        <v>-2381.0029552486785</v>
      </c>
    </row>
    <row r="16" spans="1:45" x14ac:dyDescent="0.25">
      <c r="A16" t="s">
        <v>123</v>
      </c>
      <c r="B16" t="s">
        <v>118</v>
      </c>
      <c r="C16" s="50">
        <f t="shared" si="5"/>
        <v>1376.7589364752394</v>
      </c>
      <c r="D16" s="50">
        <f t="shared" si="6"/>
        <v>726.71906538817859</v>
      </c>
      <c r="E16" s="16">
        <f t="shared" si="7"/>
        <v>2426.4732955465815</v>
      </c>
      <c r="F16" s="16">
        <f>-AVERAGE(J16:AN16)</f>
        <v>76.313610552281816</v>
      </c>
      <c r="G16" s="13">
        <v>0</v>
      </c>
      <c r="H16" s="13">
        <v>0</v>
      </c>
      <c r="I16" s="13">
        <v>0</v>
      </c>
      <c r="J16" s="13">
        <f>'Traffic_Reduced port VMT'!F47</f>
        <v>0</v>
      </c>
      <c r="K16" s="13">
        <f>'Traffic_Reduced port VMT'!G47</f>
        <v>-18.156853961046981</v>
      </c>
      <c r="L16" s="13">
        <f>'Traffic_Reduced port VMT'!H47</f>
        <v>-79.513985261466189</v>
      </c>
      <c r="M16" s="13">
        <f>'Traffic_Reduced port VMT'!I47</f>
        <v>-81.001824567793719</v>
      </c>
      <c r="N16" s="13">
        <f>'Traffic_Reduced port VMT'!J47</f>
        <v>-81.001824567793719</v>
      </c>
      <c r="O16" s="13">
        <f>'Traffic_Reduced port VMT'!K47</f>
        <v>-81.001824567793719</v>
      </c>
      <c r="P16" s="13">
        <f>'Traffic_Reduced port VMT'!L47</f>
        <v>-81.001824567793719</v>
      </c>
      <c r="Q16" s="13">
        <f>'Traffic_Reduced port VMT'!M47</f>
        <v>-81.001824567793719</v>
      </c>
      <c r="R16" s="13">
        <f>'Traffic_Reduced port VMT'!N47</f>
        <v>-81.001824567793719</v>
      </c>
      <c r="S16" s="13">
        <f>'Traffic_Reduced port VMT'!O47</f>
        <v>-81.001824567793719</v>
      </c>
      <c r="T16" s="13">
        <f>'Traffic_Reduced port VMT'!P47</f>
        <v>-81.001824567793719</v>
      </c>
      <c r="U16" s="13">
        <f>'Traffic_Reduced port VMT'!Q47</f>
        <v>-81.001824567793719</v>
      </c>
      <c r="V16" s="13">
        <f>'Traffic_Reduced port VMT'!R47</f>
        <v>-81.001824567793719</v>
      </c>
      <c r="W16" s="13">
        <f>'Traffic_Reduced port VMT'!S47</f>
        <v>-81.001824567793719</v>
      </c>
      <c r="X16" s="13">
        <f>'Traffic_Reduced port VMT'!T47</f>
        <v>-81.001824567793719</v>
      </c>
      <c r="Y16" s="13">
        <f>'Traffic_Reduced port VMT'!U47</f>
        <v>-81.001824567793719</v>
      </c>
      <c r="Z16" s="13">
        <f>'Traffic_Reduced port VMT'!V47</f>
        <v>-81.001824567793719</v>
      </c>
      <c r="AA16" s="13">
        <f>'Traffic_Reduced port VMT'!W47</f>
        <v>-81.001824567793719</v>
      </c>
      <c r="AB16" s="13">
        <f>'Traffic_Reduced port VMT'!X47</f>
        <v>-81.001824567793719</v>
      </c>
      <c r="AC16" s="13">
        <f>'Traffic_Reduced port VMT'!Y47</f>
        <v>-81.001824567793719</v>
      </c>
      <c r="AD16" s="13">
        <f>'Traffic_Reduced port VMT'!Z47</f>
        <v>-81.001824567793719</v>
      </c>
      <c r="AE16" s="13">
        <f>'Traffic_Reduced port VMT'!AA47</f>
        <v>-81.001824567793719</v>
      </c>
      <c r="AF16" s="13">
        <f>'Traffic_Reduced port VMT'!AB47</f>
        <v>-81.001824567793719</v>
      </c>
      <c r="AG16" s="13">
        <f>'Traffic_Reduced port VMT'!AC47</f>
        <v>-81.001824567793719</v>
      </c>
      <c r="AH16" s="13">
        <f>'Traffic_Reduced port VMT'!AD47</f>
        <v>-81.001824567793719</v>
      </c>
      <c r="AI16" s="13">
        <f>'Traffic_Reduced port VMT'!AE47</f>
        <v>-81.001824567793719</v>
      </c>
      <c r="AJ16" s="13">
        <f>'Traffic_Reduced port VMT'!AF47</f>
        <v>-81.001824567793719</v>
      </c>
      <c r="AK16" s="13">
        <f>'Traffic_Reduced port VMT'!AG47</f>
        <v>-81.001824567793719</v>
      </c>
      <c r="AL16" s="13">
        <f>'Traffic_Reduced port VMT'!AH47</f>
        <v>-81.001824567793719</v>
      </c>
      <c r="AM16" s="13">
        <f>'Traffic_Reduced port VMT'!AI47</f>
        <v>-81.001824567793719</v>
      </c>
      <c r="AN16" s="13">
        <f>'Traffic_Reduced port VMT'!AJ47</f>
        <v>-81.001824567793719</v>
      </c>
      <c r="AO16" s="13">
        <f>'Traffic_Reduced port VMT'!AK47</f>
        <v>-60.751368425845293</v>
      </c>
    </row>
    <row r="17" spans="1:45" x14ac:dyDescent="0.25">
      <c r="A17" t="s">
        <v>124</v>
      </c>
      <c r="B17" t="s">
        <v>125</v>
      </c>
      <c r="C17" s="50">
        <f>NPV($C$1, G17:AO17)</f>
        <v>4764815.4646544578</v>
      </c>
      <c r="D17" s="50">
        <f>NPV($D$1, G17:AO17)</f>
        <v>1304557.675326135</v>
      </c>
      <c r="E17" s="16">
        <f>SUM(G17:AO17)</f>
        <v>13017024.6</v>
      </c>
      <c r="F17" s="16">
        <f>AVERAGE(J17:AN17)</f>
        <v>419904.0193548387</v>
      </c>
      <c r="G17" s="13">
        <v>0</v>
      </c>
      <c r="H17" s="13">
        <v>0</v>
      </c>
      <c r="I17" s="13">
        <v>0</v>
      </c>
      <c r="J17" s="13">
        <v>0</v>
      </c>
      <c r="K17" s="13">
        <v>0</v>
      </c>
      <c r="L17" s="13">
        <v>0</v>
      </c>
      <c r="M17" s="13">
        <v>0</v>
      </c>
      <c r="N17" s="13">
        <v>0</v>
      </c>
      <c r="O17" s="13">
        <v>0</v>
      </c>
      <c r="P17" s="13">
        <v>0</v>
      </c>
      <c r="Q17" s="13">
        <v>0</v>
      </c>
      <c r="R17" s="13">
        <v>0</v>
      </c>
      <c r="S17" s="13">
        <v>0</v>
      </c>
      <c r="T17" s="13">
        <v>0</v>
      </c>
      <c r="U17" s="13">
        <v>0</v>
      </c>
      <c r="V17" s="13">
        <v>0</v>
      </c>
      <c r="W17" s="13">
        <v>0</v>
      </c>
      <c r="X17" s="13">
        <v>0</v>
      </c>
      <c r="Y17" s="13">
        <v>0</v>
      </c>
      <c r="Z17" s="13">
        <v>0</v>
      </c>
      <c r="AA17" s="13">
        <v>0</v>
      </c>
      <c r="AB17" s="13">
        <v>0</v>
      </c>
      <c r="AC17" s="13">
        <v>0</v>
      </c>
      <c r="AD17" s="13">
        <v>0</v>
      </c>
      <c r="AE17" s="13">
        <v>0</v>
      </c>
      <c r="AF17" s="13">
        <v>0</v>
      </c>
      <c r="AG17" s="13">
        <v>0</v>
      </c>
      <c r="AH17" s="13">
        <v>0</v>
      </c>
      <c r="AI17" s="13">
        <v>0</v>
      </c>
      <c r="AJ17" s="13">
        <v>0</v>
      </c>
      <c r="AK17" s="13">
        <v>0</v>
      </c>
      <c r="AL17" s="13">
        <v>0</v>
      </c>
      <c r="AM17" s="13">
        <v>0</v>
      </c>
      <c r="AN17" s="13">
        <f>((75-30)/75)*('Updated Project Costs'!B13)</f>
        <v>13017024.6</v>
      </c>
      <c r="AO17" s="13">
        <f>((75-30)/75)*('Updated Project Costs'!C13)</f>
        <v>0</v>
      </c>
    </row>
    <row r="18" spans="1:45" x14ac:dyDescent="0.25">
      <c r="A18" t="s">
        <v>126</v>
      </c>
      <c r="B18" t="s">
        <v>125</v>
      </c>
      <c r="C18" s="50">
        <f>NPV($C$1, G18:AO18)</f>
        <v>570939.38012999692</v>
      </c>
      <c r="D18" s="50">
        <f>NPV($D$1, G18:AO18)</f>
        <v>286534.11664335366</v>
      </c>
      <c r="E18" s="16">
        <f>SUM(G18:AO18)</f>
        <v>1044354.9576115002</v>
      </c>
      <c r="F18" s="16">
        <f>AVERAGE(J18:AN18)</f>
        <v>33688.86960037097</v>
      </c>
      <c r="G18" s="13">
        <f>IF(OR(G1=5,G1=10,G1=15,G1=20,G1=25,G1=30),'Updated Project Costs'!$E$15,0)</f>
        <v>0</v>
      </c>
      <c r="H18" s="13">
        <f>IF(OR(H1=5,H1=10,H1=15,H1=20,H1=25,H1=30),'Updated Project Costs'!$E$15,0)</f>
        <v>0</v>
      </c>
      <c r="I18" s="13">
        <f>IF(OR(I1=5,I1=10,I1=15,I1=20,I1=25,I1=30),'Updated Project Costs'!$E$15,0)</f>
        <v>0</v>
      </c>
      <c r="J18" s="13">
        <f>IF(OR(J1=5,J1=10,J1=15,J1=20,J1=25,J1=30),'Updated Project Costs'!$E$15,0)</f>
        <v>0</v>
      </c>
      <c r="K18" s="13">
        <f>IF(OR(K1=5,K1=10,K1=15,K1=20,K1=25,K1=30),'Updated Project Costs'!$E$15,0)</f>
        <v>0</v>
      </c>
      <c r="L18" s="13">
        <f>IF(OR(L1=5,L1=10,L1=15,L1=20,L1=25,L1=30),'Updated Project Costs'!$E$15,0)</f>
        <v>0</v>
      </c>
      <c r="M18" s="13">
        <f>IF(OR(M1=5,M1=10,M1=15,M1=20,M1=25,M1=30),'Updated Project Costs'!$E$15,0)</f>
        <v>0</v>
      </c>
      <c r="N18" s="13">
        <f>IF(OR(N1=5,N1=10,N1=15,N1=20,N1=25,N1=30),'Updated Project Costs'!$E$15,0)</f>
        <v>0</v>
      </c>
      <c r="O18" s="13">
        <f>IF(OR(O1=5,O1=10,O1=15,O1=20,O1=25,O1=30),'Updated Project Costs'!$E$15,0)</f>
        <v>174059.1596019167</v>
      </c>
      <c r="P18" s="13">
        <f>IF(OR(P1=5,P1=10,P1=15,P1=20,P1=25,P1=30),'Updated Project Costs'!$E$15,0)</f>
        <v>0</v>
      </c>
      <c r="Q18" s="13">
        <f>IF(OR(Q1=5,Q1=10,Q1=15,Q1=20,Q1=25,Q1=30),'Updated Project Costs'!$E$15,0)</f>
        <v>0</v>
      </c>
      <c r="R18" s="13">
        <f>IF(OR(R1=5,R1=10,R1=15,R1=20,R1=25,R1=30),'Updated Project Costs'!$E$15,0)</f>
        <v>0</v>
      </c>
      <c r="S18" s="13">
        <f>IF(OR(S1=5,S1=10,S1=15,S1=20,S1=25,S1=30),'Updated Project Costs'!$E$15,0)</f>
        <v>0</v>
      </c>
      <c r="T18" s="13">
        <f>IF(OR(T1=5,T1=10,T1=15,T1=20,T1=25,T1=30),'Updated Project Costs'!$E$15,0)</f>
        <v>174059.1596019167</v>
      </c>
      <c r="U18" s="13">
        <f>IF(OR(U1=5,U1=10,U1=15,U1=20,U1=25,U1=30),'Updated Project Costs'!$E$15,0)</f>
        <v>0</v>
      </c>
      <c r="V18" s="13">
        <f>IF(OR(V1=5,V1=10,V1=15,V1=20,V1=25,V1=30),'Updated Project Costs'!$E$15,0)</f>
        <v>0</v>
      </c>
      <c r="W18" s="13">
        <f>IF(OR(W1=5,W1=10,W1=15,W1=20,W1=25,W1=30),'Updated Project Costs'!$E$15,0)</f>
        <v>0</v>
      </c>
      <c r="X18" s="13">
        <f>IF(OR(X1=5,X1=10,X1=15,X1=20,X1=25,X1=30),'Updated Project Costs'!$E$15,0)</f>
        <v>0</v>
      </c>
      <c r="Y18" s="13">
        <f>IF(OR(Y1=5,Y1=10,Y1=15,Y1=20,Y1=25,Y1=30),'Updated Project Costs'!$E$15,0)</f>
        <v>174059.1596019167</v>
      </c>
      <c r="Z18" s="13">
        <f>IF(OR(Z1=5,Z1=10,Z1=15,Z1=20,Z1=25,Z1=30),'Updated Project Costs'!$E$15,0)</f>
        <v>0</v>
      </c>
      <c r="AA18" s="13">
        <f>IF(OR(AA1=5,AA1=10,AA1=15,AA1=20,AA1=25,AA1=30),'Updated Project Costs'!$E$15,0)</f>
        <v>0</v>
      </c>
      <c r="AB18" s="13">
        <f>IF(OR(AB1=5,AB1=10,AB1=15,AB1=20,AB1=25,AB1=30),'Updated Project Costs'!$E$15,0)</f>
        <v>0</v>
      </c>
      <c r="AC18" s="13">
        <f>IF(OR(AC1=5,AC1=10,AC1=15,AC1=20,AC1=25,AC1=30),'Updated Project Costs'!$E$15,0)</f>
        <v>0</v>
      </c>
      <c r="AD18" s="13">
        <f>IF(OR(AD1=5,AD1=10,AD1=15,AD1=20,AD1=25,AD1=30),'Updated Project Costs'!$E$15,0)</f>
        <v>174059.1596019167</v>
      </c>
      <c r="AE18" s="13">
        <f>IF(OR(AE1=5,AE1=10,AE1=15,AE1=20,AE1=25,AE1=30),'Updated Project Costs'!$E$15,0)</f>
        <v>0</v>
      </c>
      <c r="AF18" s="13">
        <f>IF(OR(AF1=5,AF1=10,AF1=15,AF1=20,AF1=25,AF1=30),'Updated Project Costs'!$E$15,0)</f>
        <v>0</v>
      </c>
      <c r="AG18" s="13">
        <f>IF(OR(AG1=5,AG1=10,AG1=15,AG1=20,AG1=25,AG1=30),'Updated Project Costs'!$E$15,0)</f>
        <v>0</v>
      </c>
      <c r="AH18" s="13">
        <f>IF(OR(AH1=5,AH1=10,AH1=15,AH1=20,AH1=25,AH1=30),'Updated Project Costs'!$E$15,0)</f>
        <v>0</v>
      </c>
      <c r="AI18" s="13">
        <f>IF(OR(AI1=5,AI1=10,AI1=15,AI1=20,AI1=25,AI1=30),'Updated Project Costs'!$E$15,0)</f>
        <v>174059.1596019167</v>
      </c>
      <c r="AJ18" s="13">
        <f>IF(OR(AJ1=5,AJ1=10,AJ1=15,AJ1=20,AJ1=25,AJ1=30),'Updated Project Costs'!$E$15,0)</f>
        <v>0</v>
      </c>
      <c r="AK18" s="13">
        <f>IF(OR(AK1=5,AK1=10,AK1=15,AK1=20,AK1=25,AK1=30),'Updated Project Costs'!$E$15,0)</f>
        <v>0</v>
      </c>
      <c r="AL18" s="13">
        <f>IF(OR(AL1=5,AL1=10,AL1=15,AL1=20,AL1=25,AL1=30),'Updated Project Costs'!$E$15,0)</f>
        <v>0</v>
      </c>
      <c r="AM18" s="13">
        <f>IF(OR(AM1=5,AM1=10,AM1=15,AM1=20,AM1=25,AM1=30),'Updated Project Costs'!$E$15,0)</f>
        <v>0</v>
      </c>
      <c r="AN18" s="13">
        <f>IF(OR(AN1=5,AN1=10,AN1=15,AN1=20,AN1=25,AN1=30),'Updated Project Costs'!$E$15,0)</f>
        <v>174059.1596019167</v>
      </c>
      <c r="AO18" s="13">
        <f>IF(OR(AO1=5,AO1=10,AO1=15,AO1=20,AO1=25,AO1=30),'Updated Project Costs'!$E$15,0)</f>
        <v>0</v>
      </c>
    </row>
    <row r="19" spans="1:45" s="12" customFormat="1" ht="15.75" thickBot="1" x14ac:dyDescent="0.3">
      <c r="A19" s="54" t="s">
        <v>72</v>
      </c>
      <c r="B19" s="54"/>
      <c r="C19" s="85">
        <f>SUM(C3:C18)</f>
        <v>84879878.728293344</v>
      </c>
      <c r="D19" s="85">
        <f>SUM(D3:D18)</f>
        <v>40947770.395660087</v>
      </c>
      <c r="E19" s="85">
        <f>SUM(E3:E18)</f>
        <v>160138566.93443528</v>
      </c>
      <c r="F19" s="56">
        <f>F6+F16</f>
        <v>17176.275827262962</v>
      </c>
    </row>
    <row r="20" spans="1:45" ht="15.75" thickTop="1" x14ac:dyDescent="0.25"/>
    <row r="21" spans="1:45" x14ac:dyDescent="0.25">
      <c r="A21" s="8" t="s">
        <v>127</v>
      </c>
      <c r="B21" s="8" t="s">
        <v>104</v>
      </c>
      <c r="C21" s="8" t="s">
        <v>105</v>
      </c>
      <c r="D21" s="8" t="s">
        <v>106</v>
      </c>
      <c r="E21" s="8" t="s">
        <v>57</v>
      </c>
      <c r="F21" s="8" t="s">
        <v>107</v>
      </c>
      <c r="G21" s="8">
        <v>2022</v>
      </c>
      <c r="H21" s="8">
        <v>2023</v>
      </c>
      <c r="I21" s="8">
        <v>2024</v>
      </c>
      <c r="J21" s="8">
        <v>2025</v>
      </c>
      <c r="K21" s="8">
        <v>2026</v>
      </c>
      <c r="L21" s="8">
        <v>2027</v>
      </c>
      <c r="M21" s="8">
        <v>2028</v>
      </c>
      <c r="N21" s="8">
        <v>2029</v>
      </c>
      <c r="O21" s="8">
        <v>2030</v>
      </c>
      <c r="P21" s="8">
        <v>2031</v>
      </c>
      <c r="Q21" s="8">
        <v>2032</v>
      </c>
      <c r="R21" s="8">
        <v>2033</v>
      </c>
      <c r="S21" s="8">
        <v>2034</v>
      </c>
      <c r="T21" s="8">
        <v>2035</v>
      </c>
      <c r="U21" s="8">
        <v>2036</v>
      </c>
      <c r="V21" s="8">
        <v>2037</v>
      </c>
      <c r="W21" s="8">
        <v>2038</v>
      </c>
      <c r="X21" s="8">
        <v>2039</v>
      </c>
      <c r="Y21" s="8">
        <v>2040</v>
      </c>
      <c r="Z21" s="8">
        <v>2041</v>
      </c>
      <c r="AA21" s="8">
        <v>2042</v>
      </c>
      <c r="AB21" s="8">
        <v>2043</v>
      </c>
      <c r="AC21" s="8">
        <v>2044</v>
      </c>
      <c r="AD21" s="8">
        <v>2045</v>
      </c>
      <c r="AE21" s="8">
        <v>2046</v>
      </c>
      <c r="AF21" s="8">
        <v>2047</v>
      </c>
      <c r="AG21" s="8">
        <v>2048</v>
      </c>
      <c r="AH21" s="8">
        <v>2049</v>
      </c>
      <c r="AI21" s="8">
        <v>2050</v>
      </c>
      <c r="AJ21" s="8">
        <v>2051</v>
      </c>
      <c r="AK21" s="8">
        <v>2052</v>
      </c>
      <c r="AL21" s="8">
        <v>2053</v>
      </c>
      <c r="AM21" s="8">
        <v>2054</v>
      </c>
      <c r="AN21" s="8">
        <v>2055</v>
      </c>
      <c r="AO21" s="8">
        <v>2056</v>
      </c>
      <c r="AP21" s="12"/>
      <c r="AQ21" s="12"/>
      <c r="AR21" s="12"/>
      <c r="AS21" s="12"/>
    </row>
    <row r="22" spans="1:45" x14ac:dyDescent="0.25">
      <c r="A22" t="s">
        <v>128</v>
      </c>
      <c r="B22" t="s">
        <v>49</v>
      </c>
      <c r="C22" s="16">
        <f>NPV($C$1, G22:AO22)</f>
        <v>17662039.729786895</v>
      </c>
      <c r="D22" s="16">
        <f>NPV($D$1, G22:AO22)</f>
        <v>15066021.103607183</v>
      </c>
      <c r="E22" s="16">
        <f>SUM(G22:AO22)</f>
        <v>19991744.378916331</v>
      </c>
      <c r="F22" s="16"/>
      <c r="G22" s="16">
        <f>'Updated Project Costs'!B22</f>
        <v>0</v>
      </c>
      <c r="H22" s="16">
        <f>'Updated Project Costs'!C22</f>
        <v>0</v>
      </c>
      <c r="I22" s="16">
        <f>'Updated Project Costs'!D22</f>
        <v>3998348.8757832665</v>
      </c>
      <c r="J22" s="16">
        <f>'Updated Project Costs'!E22</f>
        <v>7996697.751566533</v>
      </c>
      <c r="K22" s="16">
        <f>'Updated Project Costs'!F22</f>
        <v>7996697.751566533</v>
      </c>
      <c r="L22" s="16">
        <f>'Updated Project Costs'!G22</f>
        <v>0</v>
      </c>
      <c r="M22" s="16">
        <f>'Updated Project Costs'!H22</f>
        <v>0</v>
      </c>
      <c r="N22">
        <v>0</v>
      </c>
      <c r="O22">
        <v>0</v>
      </c>
      <c r="P22">
        <v>0</v>
      </c>
      <c r="Q22">
        <v>0</v>
      </c>
      <c r="R22">
        <v>0</v>
      </c>
      <c r="S22">
        <v>0</v>
      </c>
      <c r="T22">
        <v>0</v>
      </c>
      <c r="U22">
        <v>0</v>
      </c>
      <c r="V22">
        <v>0</v>
      </c>
      <c r="W22">
        <v>0</v>
      </c>
      <c r="X22">
        <v>0</v>
      </c>
      <c r="Y22">
        <v>0</v>
      </c>
      <c r="Z22">
        <v>0</v>
      </c>
      <c r="AA22">
        <v>0</v>
      </c>
      <c r="AB22">
        <v>0</v>
      </c>
      <c r="AC22">
        <v>0</v>
      </c>
      <c r="AD22">
        <v>0</v>
      </c>
      <c r="AE22">
        <v>0</v>
      </c>
      <c r="AF22">
        <v>0</v>
      </c>
      <c r="AG22">
        <v>0</v>
      </c>
      <c r="AH22">
        <v>0</v>
      </c>
      <c r="AI22">
        <v>0</v>
      </c>
      <c r="AJ22">
        <v>0</v>
      </c>
      <c r="AK22">
        <v>0</v>
      </c>
      <c r="AL22">
        <v>0</v>
      </c>
      <c r="AM22">
        <v>0</v>
      </c>
      <c r="AN22">
        <v>0</v>
      </c>
      <c r="AO22">
        <v>0</v>
      </c>
    </row>
    <row r="23" spans="1:45" x14ac:dyDescent="0.25">
      <c r="A23" t="s">
        <v>129</v>
      </c>
      <c r="B23" t="s">
        <v>130</v>
      </c>
      <c r="C23" s="16">
        <f>NPV($C$1, G23:AO23)</f>
        <v>12177974.46143678</v>
      </c>
      <c r="D23" s="16">
        <f>NPV($D$1, G23:AO23)</f>
        <v>6396482.4778001085</v>
      </c>
      <c r="E23" s="16">
        <f>SUM(G23:AO23)</f>
        <v>21505477.521531094</v>
      </c>
      <c r="F23" s="16">
        <f>AVERAGE(J23:AN23)</f>
        <v>680492.56109373062</v>
      </c>
      <c r="G23">
        <v>0</v>
      </c>
      <c r="H23">
        <v>0</v>
      </c>
      <c r="I23">
        <v>0</v>
      </c>
      <c r="J23" s="16">
        <f>'Air Quality'!D22</f>
        <v>0</v>
      </c>
      <c r="K23" s="2">
        <f>'Air Quality'!E22</f>
        <v>42727.860738340518</v>
      </c>
      <c r="L23" s="2">
        <f>'Air Quality'!F22</f>
        <v>692143.83714176365</v>
      </c>
      <c r="M23" s="2">
        <f>'Air Quality'!G22</f>
        <v>702364.22807119251</v>
      </c>
      <c r="N23" s="2">
        <f>'Air Quality'!H22</f>
        <v>715943.54069813387</v>
      </c>
      <c r="O23" s="2">
        <f>'Air Quality'!I22</f>
        <v>727494.49018268322</v>
      </c>
      <c r="P23" s="2">
        <f>'Air Quality'!J22</f>
        <v>727571.20337284217</v>
      </c>
      <c r="Q23" s="2">
        <f>'Air Quality'!K22</f>
        <v>727647.91656300123</v>
      </c>
      <c r="R23" s="2">
        <f>'Air Quality'!L22</f>
        <v>727724.62975316029</v>
      </c>
      <c r="S23" s="2">
        <f>'Air Quality'!M22</f>
        <v>727801.34294331935</v>
      </c>
      <c r="T23" s="2">
        <f>'Air Quality'!N22</f>
        <v>727878.0561334783</v>
      </c>
      <c r="U23" s="2">
        <f>'Air Quality'!O22</f>
        <v>728031.48251379631</v>
      </c>
      <c r="V23" s="2">
        <f>'Air Quality'!P22</f>
        <v>728108.19570395537</v>
      </c>
      <c r="W23" s="2">
        <f>'Air Quality'!Q22</f>
        <v>728184.90889411443</v>
      </c>
      <c r="X23" s="2">
        <f>'Air Quality'!R22</f>
        <v>728261.62208427349</v>
      </c>
      <c r="Y23" s="2">
        <f>'Air Quality'!S22</f>
        <v>728338.33527443244</v>
      </c>
      <c r="Z23" s="2">
        <f>'Air Quality'!T22</f>
        <v>728491.76165475044</v>
      </c>
      <c r="AA23" s="2">
        <f>'Air Quality'!U22</f>
        <v>728568.47484490951</v>
      </c>
      <c r="AB23" s="2">
        <f>'Air Quality'!V22</f>
        <v>728645.18803506857</v>
      </c>
      <c r="AC23" s="2">
        <f>'Air Quality'!W22</f>
        <v>728721.90122522751</v>
      </c>
      <c r="AD23" s="2">
        <f>'Air Quality'!X22</f>
        <v>728798.61441538658</v>
      </c>
      <c r="AE23" s="2">
        <f>'Air Quality'!Y22</f>
        <v>728952.04079570458</v>
      </c>
      <c r="AF23" s="2">
        <f>'Air Quality'!Z22</f>
        <v>729028.75398586364</v>
      </c>
      <c r="AG23" s="2">
        <f>'Air Quality'!AA22</f>
        <v>729105.46717602271</v>
      </c>
      <c r="AH23" s="2">
        <f>'Air Quality'!AB22</f>
        <v>729182.18036618165</v>
      </c>
      <c r="AI23" s="2">
        <f>'Air Quality'!AC22</f>
        <v>729258.8935563406</v>
      </c>
      <c r="AJ23" s="2">
        <f>'Air Quality'!AD22</f>
        <v>729258.8935563406</v>
      </c>
      <c r="AK23" s="2">
        <f>'Air Quality'!AE22</f>
        <v>729258.8935563406</v>
      </c>
      <c r="AL23" s="2">
        <f>'Air Quality'!AF22</f>
        <v>729258.8935563406</v>
      </c>
      <c r="AM23" s="2">
        <f>'Air Quality'!AG22</f>
        <v>729258.8935563406</v>
      </c>
      <c r="AN23" s="2">
        <f>'Air Quality'!AH22</f>
        <v>729258.8935563406</v>
      </c>
      <c r="AO23" s="2">
        <f>'Air Quality'!AI22</f>
        <v>410208.12762544153</v>
      </c>
    </row>
    <row r="24" spans="1:45" x14ac:dyDescent="0.25">
      <c r="A24" t="s">
        <v>131</v>
      </c>
      <c r="C24" s="16">
        <f>NPV($C$1, G24:AO24)</f>
        <v>2079716.6093934625</v>
      </c>
      <c r="D24" s="16">
        <f>NPV($D$1, G24:AO24)</f>
        <v>1280027.6343395691</v>
      </c>
      <c r="E24" s="16">
        <f>SUM(G24:AO24)</f>
        <v>3254256.1500000013</v>
      </c>
      <c r="F24" s="16"/>
      <c r="J24" s="16"/>
      <c r="K24" s="2">
        <f>'Updated Project Costs'!$B$13*'Updated Project Costs'!$B$39*0.25</f>
        <v>27118.80125</v>
      </c>
      <c r="L24" s="2">
        <f>'Updated Project Costs'!$B$13*'Updated Project Costs'!$B$39</f>
        <v>108475.205</v>
      </c>
      <c r="M24" s="2">
        <f>'Updated Project Costs'!$B$13*'Updated Project Costs'!$B$39</f>
        <v>108475.205</v>
      </c>
      <c r="N24" s="2">
        <f>'Updated Project Costs'!$B$13*'Updated Project Costs'!$B$39</f>
        <v>108475.205</v>
      </c>
      <c r="O24" s="2">
        <f>'Updated Project Costs'!$B$13*'Updated Project Costs'!$B$39</f>
        <v>108475.205</v>
      </c>
      <c r="P24" s="2">
        <f>'Updated Project Costs'!$B$13*'Updated Project Costs'!$B$39</f>
        <v>108475.205</v>
      </c>
      <c r="Q24" s="2">
        <f>'Updated Project Costs'!$B$13*'Updated Project Costs'!$B$39</f>
        <v>108475.205</v>
      </c>
      <c r="R24" s="2">
        <f>'Updated Project Costs'!$B$13*'Updated Project Costs'!$B$39</f>
        <v>108475.205</v>
      </c>
      <c r="S24" s="2">
        <f>'Updated Project Costs'!$B$13*'Updated Project Costs'!$B$39</f>
        <v>108475.205</v>
      </c>
      <c r="T24" s="2">
        <f>'Updated Project Costs'!$B$13*'Updated Project Costs'!$B$39</f>
        <v>108475.205</v>
      </c>
      <c r="U24" s="2">
        <f>'Updated Project Costs'!$B$13*'Updated Project Costs'!$B$39</f>
        <v>108475.205</v>
      </c>
      <c r="V24" s="2">
        <f>'Updated Project Costs'!$B$13*'Updated Project Costs'!$B$39</f>
        <v>108475.205</v>
      </c>
      <c r="W24" s="2">
        <f>'Updated Project Costs'!$B$13*'Updated Project Costs'!$B$39</f>
        <v>108475.205</v>
      </c>
      <c r="X24" s="2">
        <f>'Updated Project Costs'!$B$13*'Updated Project Costs'!$B$39</f>
        <v>108475.205</v>
      </c>
      <c r="Y24" s="2">
        <f>'Updated Project Costs'!$B$13*'Updated Project Costs'!$B$39</f>
        <v>108475.205</v>
      </c>
      <c r="Z24" s="2">
        <f>'Updated Project Costs'!$B$13*'Updated Project Costs'!$B$39</f>
        <v>108475.205</v>
      </c>
      <c r="AA24" s="2">
        <f>'Updated Project Costs'!$B$13*'Updated Project Costs'!$B$39</f>
        <v>108475.205</v>
      </c>
      <c r="AB24" s="2">
        <f>'Updated Project Costs'!$B$13*'Updated Project Costs'!$B$39</f>
        <v>108475.205</v>
      </c>
      <c r="AC24" s="2">
        <f>'Updated Project Costs'!$B$13*'Updated Project Costs'!$B$39</f>
        <v>108475.205</v>
      </c>
      <c r="AD24" s="2">
        <f>'Updated Project Costs'!$B$13*'Updated Project Costs'!$B$39</f>
        <v>108475.205</v>
      </c>
      <c r="AE24" s="2">
        <f>'Updated Project Costs'!$B$13*'Updated Project Costs'!$B$39</f>
        <v>108475.205</v>
      </c>
      <c r="AF24" s="2">
        <f>'Updated Project Costs'!$B$13*'Updated Project Costs'!$B$39</f>
        <v>108475.205</v>
      </c>
      <c r="AG24" s="2">
        <f>'Updated Project Costs'!$B$13*'Updated Project Costs'!$B$39</f>
        <v>108475.205</v>
      </c>
      <c r="AH24" s="2">
        <f>'Updated Project Costs'!$B$13*'Updated Project Costs'!$B$39</f>
        <v>108475.205</v>
      </c>
      <c r="AI24" s="2">
        <f>'Updated Project Costs'!$B$13*'Updated Project Costs'!$B$39</f>
        <v>108475.205</v>
      </c>
      <c r="AJ24" s="2">
        <f>'Updated Project Costs'!$B$13*'Updated Project Costs'!$B$39</f>
        <v>108475.205</v>
      </c>
      <c r="AK24" s="2">
        <f>'Updated Project Costs'!$B$13*'Updated Project Costs'!$B$39</f>
        <v>108475.205</v>
      </c>
      <c r="AL24" s="2">
        <f>'Updated Project Costs'!$B$13*'Updated Project Costs'!$B$39</f>
        <v>108475.205</v>
      </c>
      <c r="AM24" s="2">
        <f>'Updated Project Costs'!$B$13*'Updated Project Costs'!$B$39</f>
        <v>108475.205</v>
      </c>
      <c r="AN24" s="2">
        <f>'Updated Project Costs'!$B$13*'Updated Project Costs'!$B$39</f>
        <v>108475.205</v>
      </c>
      <c r="AO24" s="2">
        <f>'Updated Project Costs'!$B$13*'Updated Project Costs'!$B$39*0.75</f>
        <v>81356.403749999998</v>
      </c>
    </row>
    <row r="25" spans="1:45" s="12" customFormat="1" ht="15.75" thickBot="1" x14ac:dyDescent="0.3">
      <c r="A25" s="54" t="s">
        <v>72</v>
      </c>
      <c r="B25" s="54"/>
      <c r="C25" s="85">
        <f>SUM(C22:C24)</f>
        <v>31919730.800617136</v>
      </c>
      <c r="D25" s="85">
        <f>SUM(D22:D24)</f>
        <v>22742531.215746865</v>
      </c>
      <c r="E25" s="85">
        <f>SUM(E22:E24)</f>
        <v>44751478.050447427</v>
      </c>
      <c r="F25" s="56"/>
    </row>
    <row r="26" spans="1:45" ht="15.75" thickTop="1" x14ac:dyDescent="0.25"/>
    <row r="27" spans="1:45" x14ac:dyDescent="0.25">
      <c r="D27" s="16"/>
    </row>
    <row r="32" spans="1:45" x14ac:dyDescent="0.25">
      <c r="A32" s="49"/>
    </row>
    <row r="33" spans="1:1" x14ac:dyDescent="0.25">
      <c r="A33" s="48"/>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70ADB5-FB85-4322-8B49-DB47A60D1100}">
  <sheetPr>
    <tabColor theme="7" tint="0.79998168889431442"/>
  </sheetPr>
  <dimension ref="A1:AO52"/>
  <sheetViews>
    <sheetView topLeftCell="A29" zoomScaleNormal="100" workbookViewId="0">
      <selection activeCell="G36" sqref="G36"/>
    </sheetView>
  </sheetViews>
  <sheetFormatPr defaultRowHeight="15" x14ac:dyDescent="0.25"/>
  <cols>
    <col min="1" max="1" width="64.42578125" customWidth="1"/>
    <col min="2" max="2" width="28" customWidth="1"/>
    <col min="3" max="3" width="18.5703125" customWidth="1"/>
    <col min="4" max="4" width="22" customWidth="1"/>
    <col min="5" max="5" width="20.5703125" bestFit="1" customWidth="1"/>
    <col min="6" max="6" width="20.28515625" customWidth="1"/>
    <col min="7" max="7" width="25.7109375" customWidth="1"/>
    <col min="25" max="25" width="11.28515625" customWidth="1"/>
  </cols>
  <sheetData>
    <row r="1" spans="1:6" x14ac:dyDescent="0.25">
      <c r="A1" t="s">
        <v>132</v>
      </c>
    </row>
    <row r="3" spans="1:6" x14ac:dyDescent="0.25">
      <c r="A3" s="12" t="s">
        <v>87</v>
      </c>
    </row>
    <row r="4" spans="1:6" x14ac:dyDescent="0.25">
      <c r="A4" t="s">
        <v>6</v>
      </c>
      <c r="B4" t="s">
        <v>133</v>
      </c>
      <c r="C4" t="s">
        <v>134</v>
      </c>
    </row>
    <row r="5" spans="1:6" x14ac:dyDescent="0.25">
      <c r="A5" t="s">
        <v>135</v>
      </c>
      <c r="B5">
        <f>AVERAGE(25.3,18.2)</f>
        <v>21.75</v>
      </c>
      <c r="C5" s="20">
        <v>3.145</v>
      </c>
      <c r="D5" s="19"/>
      <c r="F5" s="20"/>
    </row>
    <row r="7" spans="1:6" x14ac:dyDescent="0.25">
      <c r="A7" t="s">
        <v>136</v>
      </c>
    </row>
    <row r="8" spans="1:6" x14ac:dyDescent="0.25">
      <c r="A8" t="s">
        <v>137</v>
      </c>
    </row>
    <row r="9" spans="1:6" x14ac:dyDescent="0.25">
      <c r="A9" t="s">
        <v>138</v>
      </c>
    </row>
    <row r="11" spans="1:6" x14ac:dyDescent="0.25">
      <c r="A11" s="12" t="s">
        <v>139</v>
      </c>
    </row>
    <row r="12" spans="1:6" s="6" customFormat="1" ht="49.35" customHeight="1" x14ac:dyDescent="0.25">
      <c r="A12" s="6" t="s">
        <v>6</v>
      </c>
      <c r="B12" s="6" t="s">
        <v>140</v>
      </c>
      <c r="C12" s="6" t="s">
        <v>141</v>
      </c>
    </row>
    <row r="13" spans="1:6" x14ac:dyDescent="0.25">
      <c r="A13" t="s">
        <v>135</v>
      </c>
      <c r="B13" s="13">
        <f>'BCA Values'!K25</f>
        <v>0.46</v>
      </c>
      <c r="C13" s="13">
        <f>'BCA Values'!K26</f>
        <v>1.01</v>
      </c>
      <c r="D13" s="32"/>
      <c r="E13" s="16"/>
      <c r="F13" s="16"/>
    </row>
    <row r="15" spans="1:6" x14ac:dyDescent="0.25">
      <c r="A15" t="s">
        <v>142</v>
      </c>
      <c r="B15" s="11"/>
    </row>
    <row r="16" spans="1:6" x14ac:dyDescent="0.25">
      <c r="A16" t="s">
        <v>143</v>
      </c>
    </row>
    <row r="18" spans="1:4" x14ac:dyDescent="0.25">
      <c r="A18" s="12" t="s">
        <v>144</v>
      </c>
    </row>
    <row r="19" spans="1:4" x14ac:dyDescent="0.25">
      <c r="A19" t="s">
        <v>145</v>
      </c>
      <c r="B19" t="s">
        <v>146</v>
      </c>
      <c r="C19" t="s">
        <v>147</v>
      </c>
      <c r="D19" t="s">
        <v>148</v>
      </c>
    </row>
    <row r="20" spans="1:4" ht="16.5" x14ac:dyDescent="0.3">
      <c r="A20" t="s">
        <v>91</v>
      </c>
      <c r="B20" s="52">
        <v>0.68600000000000005</v>
      </c>
      <c r="C20">
        <f>B20/1000000</f>
        <v>6.8600000000000008E-7</v>
      </c>
    </row>
    <row r="21" spans="1:4" x14ac:dyDescent="0.25">
      <c r="A21" s="6" t="s">
        <v>92</v>
      </c>
      <c r="C21">
        <f t="shared" ref="C21:C23" si="0">B21/1000000</f>
        <v>0</v>
      </c>
    </row>
    <row r="22" spans="1:4" x14ac:dyDescent="0.25">
      <c r="A22" t="s">
        <v>93</v>
      </c>
      <c r="B22">
        <v>404</v>
      </c>
      <c r="C22">
        <f t="shared" si="0"/>
        <v>4.0400000000000001E-4</v>
      </c>
    </row>
    <row r="23" spans="1:4" x14ac:dyDescent="0.25">
      <c r="A23" t="s">
        <v>94</v>
      </c>
      <c r="B23">
        <v>0.02</v>
      </c>
      <c r="C23">
        <f t="shared" si="0"/>
        <v>2E-8</v>
      </c>
    </row>
    <row r="24" spans="1:4" x14ac:dyDescent="0.25">
      <c r="B24" t="s">
        <v>149</v>
      </c>
    </row>
    <row r="25" spans="1:4" x14ac:dyDescent="0.25">
      <c r="A25" s="6"/>
      <c r="B25" t="s">
        <v>150</v>
      </c>
    </row>
    <row r="26" spans="1:4" x14ac:dyDescent="0.25">
      <c r="A26" s="6"/>
    </row>
    <row r="27" spans="1:4" x14ac:dyDescent="0.25">
      <c r="A27" s="12" t="s">
        <v>151</v>
      </c>
      <c r="B27" t="s">
        <v>152</v>
      </c>
      <c r="C27" t="s">
        <v>153</v>
      </c>
      <c r="D27" t="s">
        <v>154</v>
      </c>
    </row>
    <row r="28" spans="1:4" x14ac:dyDescent="0.25">
      <c r="A28" s="6" t="s">
        <v>6</v>
      </c>
      <c r="B28">
        <f>'Crash stats'!$R$9/100000000</f>
        <v>8.5799999999999998E-7</v>
      </c>
      <c r="C28" s="51">
        <f>'Crash stats'!$C$15/100000000</f>
        <v>1.1681818181818181E-8</v>
      </c>
      <c r="D28" s="51">
        <f>'Crash stats'!AC16/1000000</f>
        <v>1.4038179666663155E-6</v>
      </c>
    </row>
    <row r="29" spans="1:4" x14ac:dyDescent="0.25">
      <c r="A29" t="s">
        <v>135</v>
      </c>
      <c r="B29" t="s">
        <v>155</v>
      </c>
    </row>
    <row r="30" spans="1:4" x14ac:dyDescent="0.25">
      <c r="A30" s="6"/>
    </row>
    <row r="32" spans="1:4" x14ac:dyDescent="0.25">
      <c r="A32" t="s">
        <v>156</v>
      </c>
      <c r="C32" s="22">
        <v>0.03</v>
      </c>
      <c r="D32" s="22">
        <v>7.0000000000000007E-2</v>
      </c>
    </row>
    <row r="33" spans="1:41" x14ac:dyDescent="0.25">
      <c r="A33" s="8"/>
      <c r="B33" s="8"/>
      <c r="C33" s="8" t="s">
        <v>105</v>
      </c>
      <c r="D33" s="8" t="s">
        <v>106</v>
      </c>
      <c r="E33" s="8" t="s">
        <v>57</v>
      </c>
      <c r="F33" s="8">
        <v>2025</v>
      </c>
      <c r="G33" s="8">
        <v>2026</v>
      </c>
      <c r="H33" s="8">
        <v>2027</v>
      </c>
      <c r="I33" s="8">
        <v>2028</v>
      </c>
      <c r="J33" s="8">
        <v>2029</v>
      </c>
      <c r="K33" s="8">
        <v>2030</v>
      </c>
      <c r="L33" s="8">
        <v>2031</v>
      </c>
      <c r="M33" s="8">
        <v>2032</v>
      </c>
      <c r="N33" s="8">
        <v>2033</v>
      </c>
      <c r="O33" s="8">
        <v>2034</v>
      </c>
      <c r="P33" s="8">
        <v>2035</v>
      </c>
      <c r="Q33" s="8">
        <v>2036</v>
      </c>
      <c r="R33" s="8">
        <v>2037</v>
      </c>
      <c r="S33" s="8">
        <v>2038</v>
      </c>
      <c r="T33" s="8">
        <v>2039</v>
      </c>
      <c r="U33" s="8">
        <v>2040</v>
      </c>
      <c r="V33" s="8">
        <v>2041</v>
      </c>
      <c r="W33" s="8">
        <v>2042</v>
      </c>
      <c r="X33" s="8">
        <v>2043</v>
      </c>
      <c r="Y33" s="8">
        <v>2044</v>
      </c>
      <c r="Z33" s="8">
        <v>2045</v>
      </c>
      <c r="AA33" s="8">
        <v>2046</v>
      </c>
      <c r="AB33" s="8">
        <v>2047</v>
      </c>
      <c r="AC33" s="8">
        <v>2048</v>
      </c>
      <c r="AD33" s="8">
        <v>2049</v>
      </c>
      <c r="AE33" s="8">
        <v>2050</v>
      </c>
      <c r="AF33" s="8">
        <v>2051</v>
      </c>
      <c r="AG33" s="8">
        <v>2052</v>
      </c>
      <c r="AH33" s="8">
        <v>2053</v>
      </c>
      <c r="AI33" s="8">
        <v>2054</v>
      </c>
      <c r="AJ33" s="8">
        <v>2055</v>
      </c>
      <c r="AK33" s="8">
        <v>2056</v>
      </c>
      <c r="AL33" s="12"/>
      <c r="AM33" s="12"/>
      <c r="AN33" s="12"/>
      <c r="AO33" s="12"/>
    </row>
    <row r="34" spans="1:41" hidden="1" x14ac:dyDescent="0.25">
      <c r="F34">
        <v>2022</v>
      </c>
      <c r="G34">
        <v>2023</v>
      </c>
      <c r="H34">
        <v>2024</v>
      </c>
      <c r="I34">
        <v>2025</v>
      </c>
      <c r="J34">
        <v>2026</v>
      </c>
      <c r="K34">
        <v>2027</v>
      </c>
      <c r="L34">
        <v>2028</v>
      </c>
      <c r="M34">
        <v>2029</v>
      </c>
      <c r="N34">
        <v>2030</v>
      </c>
      <c r="O34">
        <v>2031</v>
      </c>
      <c r="P34">
        <v>2032</v>
      </c>
      <c r="Q34">
        <v>2033</v>
      </c>
      <c r="R34">
        <v>2034</v>
      </c>
      <c r="S34">
        <v>2035</v>
      </c>
      <c r="T34">
        <v>2036</v>
      </c>
      <c r="U34">
        <v>2037</v>
      </c>
      <c r="V34">
        <v>2038</v>
      </c>
      <c r="W34">
        <v>2039</v>
      </c>
      <c r="X34">
        <v>2040</v>
      </c>
      <c r="Y34">
        <v>2041</v>
      </c>
      <c r="Z34">
        <v>2042</v>
      </c>
      <c r="AA34">
        <v>2043</v>
      </c>
      <c r="AB34">
        <v>2044</v>
      </c>
      <c r="AC34">
        <v>2045</v>
      </c>
      <c r="AD34">
        <v>2046</v>
      </c>
      <c r="AE34">
        <v>2047</v>
      </c>
      <c r="AF34">
        <v>2048</v>
      </c>
      <c r="AG34">
        <v>2049</v>
      </c>
      <c r="AH34">
        <v>2050</v>
      </c>
      <c r="AI34">
        <v>2051</v>
      </c>
      <c r="AJ34">
        <v>2052</v>
      </c>
      <c r="AK34">
        <v>2052</v>
      </c>
    </row>
    <row r="35" spans="1:41" x14ac:dyDescent="0.25">
      <c r="A35" t="s">
        <v>157</v>
      </c>
      <c r="C35" s="58"/>
      <c r="D35" s="58"/>
      <c r="E35" s="58"/>
    </row>
    <row r="36" spans="1:41" x14ac:dyDescent="0.25">
      <c r="A36" t="s">
        <v>158</v>
      </c>
      <c r="C36" s="58"/>
      <c r="D36" s="58"/>
      <c r="E36" s="199">
        <f>-AVERAGE(F36:AK36)</f>
        <v>20308.532079201894</v>
      </c>
      <c r="F36">
        <v>0</v>
      </c>
      <c r="G36" s="203">
        <f>(INDEX('Total reduced terminal VMT'!$C$5:$AI$5,MATCH('Traffic_Reduced port VMT'!G33,'Total reduced terminal VMT'!$C$3:$AI$3,0))*0.25)</f>
        <v>-5109.3371212121219</v>
      </c>
      <c r="H36">
        <f>INDEX('Total reduced terminal VMT'!$C$5:$AI$5,MATCH('Traffic_Reduced port VMT'!H33,'Total reduced terminal VMT'!$C$3:$AI$3,0))</f>
        <v>-21459.348484848488</v>
      </c>
      <c r="I36">
        <f>INDEX('Total reduced terminal VMT'!$C$5:$AI$5,MATCH('Traffic_Reduced port VMT'!I33,'Total reduced terminal VMT'!$C$3:$AI$3,0))</f>
        <v>-21680.150988813908</v>
      </c>
      <c r="J36">
        <f>INDEX('Total reduced terminal VMT'!$C$5:$AI$5,MATCH('Traffic_Reduced port VMT'!J33,'Total reduced terminal VMT'!$C$3:$AI$3,0))</f>
        <v>-21680.150988813908</v>
      </c>
      <c r="K36">
        <f>INDEX('Total reduced terminal VMT'!$C$5:$AI$5,MATCH('Traffic_Reduced port VMT'!K33,'Total reduced terminal VMT'!$C$3:$AI$3,0))</f>
        <v>-21680.150988813908</v>
      </c>
      <c r="L36">
        <f>INDEX('Total reduced terminal VMT'!$C$5:$AI$5,MATCH('Traffic_Reduced port VMT'!L33,'Total reduced terminal VMT'!$C$3:$AI$3,0))</f>
        <v>-21680.150988813908</v>
      </c>
      <c r="M36">
        <f>INDEX('Total reduced terminal VMT'!$C$5:$AI$5,MATCH('Traffic_Reduced port VMT'!M33,'Total reduced terminal VMT'!$C$3:$AI$3,0))</f>
        <v>-21680.150988813908</v>
      </c>
      <c r="N36">
        <f>INDEX('Total reduced terminal VMT'!$C$5:$AI$5,MATCH('Traffic_Reduced port VMT'!N33,'Total reduced terminal VMT'!$C$3:$AI$3,0))</f>
        <v>-21680.150988813908</v>
      </c>
      <c r="O36">
        <f>INDEX('Total reduced terminal VMT'!$C$5:$AI$5,MATCH('Traffic_Reduced port VMT'!O33,'Total reduced terminal VMT'!$C$3:$AI$3,0))</f>
        <v>-21680.150988813908</v>
      </c>
      <c r="P36">
        <f>INDEX('Total reduced terminal VMT'!$C$5:$AI$5,MATCH('Traffic_Reduced port VMT'!P33,'Total reduced terminal VMT'!$C$3:$AI$3,0))</f>
        <v>-21680.150988813908</v>
      </c>
      <c r="Q36">
        <f>INDEX('Total reduced terminal VMT'!$C$5:$AI$5,MATCH('Traffic_Reduced port VMT'!Q33,'Total reduced terminal VMT'!$C$3:$AI$3,0))</f>
        <v>-21680.150988813908</v>
      </c>
      <c r="R36">
        <f>INDEX('Total reduced terminal VMT'!$C$5:$AI$5,MATCH('Traffic_Reduced port VMT'!R33,'Total reduced terminal VMT'!$C$3:$AI$3,0))</f>
        <v>-21680.150988813908</v>
      </c>
      <c r="S36">
        <f>INDEX('Total reduced terminal VMT'!$C$5:$AI$5,MATCH('Traffic_Reduced port VMT'!S33,'Total reduced terminal VMT'!$C$3:$AI$3,0))</f>
        <v>-21680.150988813908</v>
      </c>
      <c r="T36">
        <f>INDEX('Total reduced terminal VMT'!$C$5:$AI$5,MATCH('Traffic_Reduced port VMT'!T33,'Total reduced terminal VMT'!$C$3:$AI$3,0))</f>
        <v>-21680.150988813908</v>
      </c>
      <c r="U36">
        <f>INDEX('Total reduced terminal VMT'!$C$5:$AI$5,MATCH('Traffic_Reduced port VMT'!U33,'Total reduced terminal VMT'!$C$3:$AI$3,0))</f>
        <v>-21680.150988813908</v>
      </c>
      <c r="V36">
        <f>INDEX('Total reduced terminal VMT'!$C$5:$AI$5,MATCH('Traffic_Reduced port VMT'!V33,'Total reduced terminal VMT'!$C$3:$AI$3,0))</f>
        <v>-21680.150988813908</v>
      </c>
      <c r="W36">
        <f>INDEX('Total reduced terminal VMT'!$C$5:$AI$5,MATCH('Traffic_Reduced port VMT'!W33,'Total reduced terminal VMT'!$C$3:$AI$3,0))</f>
        <v>-21680.150988813908</v>
      </c>
      <c r="X36">
        <f>INDEX('Total reduced terminal VMT'!$C$5:$AI$5,MATCH('Traffic_Reduced port VMT'!X33,'Total reduced terminal VMT'!$C$3:$AI$3,0))</f>
        <v>-21680.150988813908</v>
      </c>
      <c r="Y36">
        <f>INDEX('Total reduced terminal VMT'!$C$5:$AI$5,MATCH('Traffic_Reduced port VMT'!Y33,'Total reduced terminal VMT'!$C$3:$AI$3,0))</f>
        <v>-21680.150988813908</v>
      </c>
      <c r="Z36">
        <f>INDEX('Total reduced terminal VMT'!$C$5:$AI$5,MATCH('Traffic_Reduced port VMT'!Z33,'Total reduced terminal VMT'!$C$3:$AI$3,0))</f>
        <v>-21680.150988813908</v>
      </c>
      <c r="AA36">
        <f>INDEX('Total reduced terminal VMT'!$C$5:$AI$5,MATCH('Traffic_Reduced port VMT'!AA33,'Total reduced terminal VMT'!$C$3:$AI$3,0))</f>
        <v>-21680.150988813908</v>
      </c>
      <c r="AB36">
        <f>INDEX('Total reduced terminal VMT'!$C$5:$AI$5,MATCH('Traffic_Reduced port VMT'!AB33,'Total reduced terminal VMT'!$C$3:$AI$3,0))</f>
        <v>-21680.150988813908</v>
      </c>
      <c r="AC36">
        <f>INDEX('Total reduced terminal VMT'!$C$5:$AI$5,MATCH('Traffic_Reduced port VMT'!AC33,'Total reduced terminal VMT'!$C$3:$AI$3,0))</f>
        <v>-21680.150988813908</v>
      </c>
      <c r="AD36">
        <f>INDEX('Total reduced terminal VMT'!$C$5:$AI$5,MATCH('Traffic_Reduced port VMT'!AD33,'Total reduced terminal VMT'!$C$3:$AI$3,0))</f>
        <v>-21680.150988813908</v>
      </c>
      <c r="AE36">
        <f>INDEX('Total reduced terminal VMT'!$C$5:$AI$5,MATCH('Traffic_Reduced port VMT'!AE33,'Total reduced terminal VMT'!$C$3:$AI$3,0))</f>
        <v>-21680.150988813908</v>
      </c>
      <c r="AF36">
        <f>INDEX('Total reduced terminal VMT'!$C$5:$AI$5,MATCH('Traffic_Reduced port VMT'!AF33,'Total reduced terminal VMT'!$C$3:$AI$3,0))</f>
        <v>-21680.150988813908</v>
      </c>
      <c r="AG36">
        <f>INDEX('Total reduced terminal VMT'!$C$5:$AI$5,MATCH('Traffic_Reduced port VMT'!AG33,'Total reduced terminal VMT'!$C$3:$AI$3,0))</f>
        <v>-21680.150988813908</v>
      </c>
      <c r="AH36">
        <f>INDEX('Total reduced terminal VMT'!$C$5:$AI$5,MATCH('Traffic_Reduced port VMT'!AH33,'Total reduced terminal VMT'!$C$3:$AI$3,0))</f>
        <v>-21680.150988813908</v>
      </c>
      <c r="AI36">
        <f>INDEX('Total reduced terminal VMT'!$C$5:$AI$5,MATCH('Traffic_Reduced port VMT'!AI33,'Total reduced terminal VMT'!$C$3:$AI$3,0))</f>
        <v>-21680.150988813908</v>
      </c>
      <c r="AJ36">
        <f>AI36</f>
        <v>-21680.150988813908</v>
      </c>
      <c r="AK36">
        <f>AJ36*0.75</f>
        <v>-16260.11324161043</v>
      </c>
    </row>
    <row r="37" spans="1:41" x14ac:dyDescent="0.25">
      <c r="A37" t="s">
        <v>159</v>
      </c>
      <c r="C37" s="58"/>
      <c r="D37" s="58"/>
      <c r="E37" s="199">
        <f>-AVERAGE(F37:AK37)</f>
        <v>-9055.3977272727261</v>
      </c>
      <c r="F37">
        <v>0</v>
      </c>
      <c r="G37" s="203">
        <f>(INDEX('Total reduced terminal VMT'!$C$6:$AI$6,MATCH('Traffic_Reduced port VMT'!G33, 'Total reduced terminal VMT'!$C$3:$AI$3,0)))*0.25</f>
        <v>2414.772727272727</v>
      </c>
      <c r="H37">
        <f>INDEX('Total reduced terminal VMT'!$C$6:$AI$6,MATCH('Traffic_Reduced port VMT'!H33, 'Total reduced terminal VMT'!$C$3:$AI$3,0))</f>
        <v>9659.0909090909081</v>
      </c>
      <c r="I37">
        <f>INDEX('Total reduced terminal VMT'!$C$6:$AI$6,MATCH('Traffic_Reduced port VMT'!I33, 'Total reduced terminal VMT'!$C$3:$AI$3,0))</f>
        <v>9659.0909090909081</v>
      </c>
      <c r="J37">
        <f>INDEX('Total reduced terminal VMT'!$C$6:$AI$6,MATCH('Traffic_Reduced port VMT'!J33, 'Total reduced terminal VMT'!$C$3:$AI$3,0))</f>
        <v>9659.0909090909081</v>
      </c>
      <c r="K37">
        <f>INDEX('Total reduced terminal VMT'!$C$6:$AI$6,MATCH('Traffic_Reduced port VMT'!K33, 'Total reduced terminal VMT'!$C$3:$AI$3,0))</f>
        <v>9659.0909090909081</v>
      </c>
      <c r="L37">
        <f>INDEX('Total reduced terminal VMT'!$C$6:$AI$6,MATCH('Traffic_Reduced port VMT'!L33, 'Total reduced terminal VMT'!$C$3:$AI$3,0))</f>
        <v>9659.0909090909081</v>
      </c>
      <c r="M37">
        <f>INDEX('Total reduced terminal VMT'!$C$6:$AI$6,MATCH('Traffic_Reduced port VMT'!M33, 'Total reduced terminal VMT'!$C$3:$AI$3,0))</f>
        <v>9659.0909090909081</v>
      </c>
      <c r="N37">
        <f>INDEX('Total reduced terminal VMT'!$C$6:$AI$6,MATCH('Traffic_Reduced port VMT'!N33, 'Total reduced terminal VMT'!$C$3:$AI$3,0))</f>
        <v>9659.0909090909081</v>
      </c>
      <c r="O37">
        <f>INDEX('Total reduced terminal VMT'!$C$6:$AI$6,MATCH('Traffic_Reduced port VMT'!O33, 'Total reduced terminal VMT'!$C$3:$AI$3,0))</f>
        <v>9659.0909090909081</v>
      </c>
      <c r="P37">
        <f>INDEX('Total reduced terminal VMT'!$C$6:$AI$6,MATCH('Traffic_Reduced port VMT'!P33, 'Total reduced terminal VMT'!$C$3:$AI$3,0))</f>
        <v>9659.0909090909081</v>
      </c>
      <c r="Q37">
        <f>INDEX('Total reduced terminal VMT'!$C$6:$AI$6,MATCH('Traffic_Reduced port VMT'!Q33, 'Total reduced terminal VMT'!$C$3:$AI$3,0))</f>
        <v>9659.0909090909081</v>
      </c>
      <c r="R37">
        <f>INDEX('Total reduced terminal VMT'!$C$6:$AI$6,MATCH('Traffic_Reduced port VMT'!R33, 'Total reduced terminal VMT'!$C$3:$AI$3,0))</f>
        <v>9659.0909090909081</v>
      </c>
      <c r="S37">
        <f>INDEX('Total reduced terminal VMT'!$C$6:$AI$6,MATCH('Traffic_Reduced port VMT'!S33, 'Total reduced terminal VMT'!$C$3:$AI$3,0))</f>
        <v>9659.0909090909081</v>
      </c>
      <c r="T37">
        <f>INDEX('Total reduced terminal VMT'!$C$6:$AI$6,MATCH('Traffic_Reduced port VMT'!T33, 'Total reduced terminal VMT'!$C$3:$AI$3,0))</f>
        <v>9659.0909090909081</v>
      </c>
      <c r="U37">
        <f>INDEX('Total reduced terminal VMT'!$C$6:$AI$6,MATCH('Traffic_Reduced port VMT'!U33, 'Total reduced terminal VMT'!$C$3:$AI$3,0))</f>
        <v>9659.0909090909081</v>
      </c>
      <c r="V37">
        <f>INDEX('Total reduced terminal VMT'!$C$6:$AI$6,MATCH('Traffic_Reduced port VMT'!V33, 'Total reduced terminal VMT'!$C$3:$AI$3,0))</f>
        <v>9659.0909090909081</v>
      </c>
      <c r="W37">
        <f>INDEX('Total reduced terminal VMT'!$C$6:$AI$6,MATCH('Traffic_Reduced port VMT'!W33, 'Total reduced terminal VMT'!$C$3:$AI$3,0))</f>
        <v>9659.0909090909081</v>
      </c>
      <c r="X37">
        <f>INDEX('Total reduced terminal VMT'!$C$6:$AI$6,MATCH('Traffic_Reduced port VMT'!X33, 'Total reduced terminal VMT'!$C$3:$AI$3,0))</f>
        <v>9659.0909090909081</v>
      </c>
      <c r="Y37">
        <f>INDEX('Total reduced terminal VMT'!$C$6:$AI$6,MATCH('Traffic_Reduced port VMT'!Y33, 'Total reduced terminal VMT'!$C$3:$AI$3,0))</f>
        <v>9659.0909090909081</v>
      </c>
      <c r="Z37">
        <f>INDEX('Total reduced terminal VMT'!$C$6:$AI$6,MATCH('Traffic_Reduced port VMT'!Z33, 'Total reduced terminal VMT'!$C$3:$AI$3,0))</f>
        <v>9659.0909090909081</v>
      </c>
      <c r="AA37">
        <f>INDEX('Total reduced terminal VMT'!$C$6:$AI$6,MATCH('Traffic_Reduced port VMT'!AA33, 'Total reduced terminal VMT'!$C$3:$AI$3,0))</f>
        <v>9659.0909090909081</v>
      </c>
      <c r="AB37">
        <f>INDEX('Total reduced terminal VMT'!$C$6:$AI$6,MATCH('Traffic_Reduced port VMT'!AB33, 'Total reduced terminal VMT'!$C$3:$AI$3,0))</f>
        <v>9659.0909090909081</v>
      </c>
      <c r="AC37">
        <f>INDEX('Total reduced terminal VMT'!$C$6:$AI$6,MATCH('Traffic_Reduced port VMT'!AC33, 'Total reduced terminal VMT'!$C$3:$AI$3,0))</f>
        <v>9659.0909090909081</v>
      </c>
      <c r="AD37">
        <f>INDEX('Total reduced terminal VMT'!$C$6:$AI$6,MATCH('Traffic_Reduced port VMT'!AD33, 'Total reduced terminal VMT'!$C$3:$AI$3,0))</f>
        <v>9659.0909090909081</v>
      </c>
      <c r="AE37">
        <f>INDEX('Total reduced terminal VMT'!$C$6:$AI$6,MATCH('Traffic_Reduced port VMT'!AE33, 'Total reduced terminal VMT'!$C$3:$AI$3,0))</f>
        <v>9659.0909090909081</v>
      </c>
      <c r="AF37">
        <f>INDEX('Total reduced terminal VMT'!$C$6:$AI$6,MATCH('Traffic_Reduced port VMT'!AF33, 'Total reduced terminal VMT'!$C$3:$AI$3,0))</f>
        <v>9659.0909090909081</v>
      </c>
      <c r="AG37">
        <f>INDEX('Total reduced terminal VMT'!$C$6:$AI$6,MATCH('Traffic_Reduced port VMT'!AG33, 'Total reduced terminal VMT'!$C$3:$AI$3,0))</f>
        <v>9659.0909090909081</v>
      </c>
      <c r="AH37">
        <f>INDEX('Total reduced terminal VMT'!$C$6:$AI$6,MATCH('Traffic_Reduced port VMT'!AH33, 'Total reduced terminal VMT'!$C$3:$AI$3,0))</f>
        <v>9659.0909090909081</v>
      </c>
      <c r="AI37">
        <f>INDEX('Total reduced terminal VMT'!$C$6:$AI$6,MATCH('Traffic_Reduced port VMT'!AI33, 'Total reduced terminal VMT'!$C$3:$AI$3,0))</f>
        <v>9659.0909090909081</v>
      </c>
      <c r="AJ37">
        <f>AI37</f>
        <v>9659.0909090909081</v>
      </c>
      <c r="AK37">
        <f>AJ37*0.75</f>
        <v>7244.3181818181811</v>
      </c>
    </row>
    <row r="38" spans="1:41" x14ac:dyDescent="0.25">
      <c r="A38" t="s">
        <v>72</v>
      </c>
      <c r="C38" s="58"/>
      <c r="D38" s="58"/>
      <c r="E38" s="199">
        <f>-AVERAGE(F38:AK38)</f>
        <v>11253.134351929171</v>
      </c>
      <c r="F38">
        <v>0</v>
      </c>
      <c r="G38" s="203">
        <f>SUM(G36:G37)</f>
        <v>-2694.5643939393949</v>
      </c>
      <c r="H38" s="203">
        <f t="shared" ref="H38:AK38" si="1">SUM(H36:H37)</f>
        <v>-11800.25757575758</v>
      </c>
      <c r="I38" s="203">
        <f t="shared" si="1"/>
        <v>-12021.060079723</v>
      </c>
      <c r="J38" s="203">
        <f t="shared" si="1"/>
        <v>-12021.060079723</v>
      </c>
      <c r="K38" s="203">
        <f t="shared" si="1"/>
        <v>-12021.060079723</v>
      </c>
      <c r="L38" s="203">
        <f t="shared" si="1"/>
        <v>-12021.060079723</v>
      </c>
      <c r="M38" s="203">
        <f t="shared" si="1"/>
        <v>-12021.060079723</v>
      </c>
      <c r="N38" s="203">
        <f t="shared" si="1"/>
        <v>-12021.060079723</v>
      </c>
      <c r="O38" s="203">
        <f t="shared" si="1"/>
        <v>-12021.060079723</v>
      </c>
      <c r="P38" s="203">
        <f t="shared" si="1"/>
        <v>-12021.060079723</v>
      </c>
      <c r="Q38" s="203">
        <f t="shared" si="1"/>
        <v>-12021.060079723</v>
      </c>
      <c r="R38" s="203">
        <f t="shared" si="1"/>
        <v>-12021.060079723</v>
      </c>
      <c r="S38" s="203">
        <f t="shared" si="1"/>
        <v>-12021.060079723</v>
      </c>
      <c r="T38" s="203">
        <f t="shared" si="1"/>
        <v>-12021.060079723</v>
      </c>
      <c r="U38" s="203">
        <f t="shared" si="1"/>
        <v>-12021.060079723</v>
      </c>
      <c r="V38" s="203">
        <f t="shared" si="1"/>
        <v>-12021.060079723</v>
      </c>
      <c r="W38" s="203">
        <f t="shared" si="1"/>
        <v>-12021.060079723</v>
      </c>
      <c r="X38" s="203">
        <f t="shared" si="1"/>
        <v>-12021.060079723</v>
      </c>
      <c r="Y38" s="203">
        <f t="shared" si="1"/>
        <v>-12021.060079723</v>
      </c>
      <c r="Z38" s="203">
        <f t="shared" si="1"/>
        <v>-12021.060079723</v>
      </c>
      <c r="AA38" s="203">
        <f t="shared" si="1"/>
        <v>-12021.060079723</v>
      </c>
      <c r="AB38" s="203">
        <f t="shared" si="1"/>
        <v>-12021.060079723</v>
      </c>
      <c r="AC38" s="203">
        <f t="shared" si="1"/>
        <v>-12021.060079723</v>
      </c>
      <c r="AD38" s="203">
        <f t="shared" si="1"/>
        <v>-12021.060079723</v>
      </c>
      <c r="AE38" s="203">
        <f t="shared" si="1"/>
        <v>-12021.060079723</v>
      </c>
      <c r="AF38" s="203">
        <f t="shared" si="1"/>
        <v>-12021.060079723</v>
      </c>
      <c r="AG38" s="203">
        <f t="shared" si="1"/>
        <v>-12021.060079723</v>
      </c>
      <c r="AH38" s="203">
        <f t="shared" si="1"/>
        <v>-12021.060079723</v>
      </c>
      <c r="AI38" s="203">
        <f t="shared" si="1"/>
        <v>-12021.060079723</v>
      </c>
      <c r="AJ38" s="203">
        <f t="shared" si="1"/>
        <v>-12021.060079723</v>
      </c>
      <c r="AK38" s="203">
        <f t="shared" si="1"/>
        <v>-9015.79505979225</v>
      </c>
    </row>
    <row r="39" spans="1:41" x14ac:dyDescent="0.25">
      <c r="A39" t="s">
        <v>160</v>
      </c>
      <c r="C39" s="58"/>
      <c r="D39" s="58"/>
      <c r="E39" s="58" t="s">
        <v>161</v>
      </c>
      <c r="F39">
        <f>INDEX('BCA Values'!$B$6:$B$34,MATCH('Traffic_Reduced port VMT'!F33, 'BCA Values'!$A$6:$A$34,0))</f>
        <v>17200</v>
      </c>
      <c r="G39">
        <f>INDEX('BCA Values'!$B$6:$B$34,MATCH('Traffic_Reduced port VMT'!G33, 'BCA Values'!$A$6:$A$34,0))</f>
        <v>17500</v>
      </c>
      <c r="H39">
        <f>INDEX('BCA Values'!$B$6:$B$34,MATCH('Traffic_Reduced port VMT'!H33, 'BCA Values'!$A$6:$A$34,0))</f>
        <v>17900</v>
      </c>
      <c r="I39">
        <f>INDEX('BCA Values'!$B$6:$B$34,MATCH('Traffic_Reduced port VMT'!I33, 'BCA Values'!$A$6:$A$34,0))</f>
        <v>18200</v>
      </c>
      <c r="J39">
        <f>INDEX('BCA Values'!$B$6:$B$34,MATCH('Traffic_Reduced port VMT'!J33, 'BCA Values'!$A$6:$A$34,0))</f>
        <v>18600</v>
      </c>
      <c r="K39">
        <f>INDEX('BCA Values'!$B$6:$B$34,MATCH('Traffic_Reduced port VMT'!K33, 'BCA Values'!$A$6:$A$34,0))</f>
        <v>18900</v>
      </c>
      <c r="L39">
        <f>INDEX('BCA Values'!$B$6:$B$34,MATCH('Traffic_Reduced port VMT'!L33, 'BCA Values'!$A$6:$A$34,0))</f>
        <v>18900</v>
      </c>
      <c r="M39">
        <f>INDEX('BCA Values'!$B$6:$B$34,MATCH('Traffic_Reduced port VMT'!M33, 'BCA Values'!$A$6:$A$34,0))</f>
        <v>18900</v>
      </c>
      <c r="N39">
        <f>INDEX('BCA Values'!$B$6:$B$34,MATCH('Traffic_Reduced port VMT'!N33, 'BCA Values'!$A$6:$A$34,0))</f>
        <v>18900</v>
      </c>
      <c r="O39">
        <f>INDEX('BCA Values'!$B$6:$B$34,MATCH('Traffic_Reduced port VMT'!O33, 'BCA Values'!$A$6:$A$34,0))</f>
        <v>18900</v>
      </c>
      <c r="P39">
        <f>INDEX('BCA Values'!$B$6:$B$34,MATCH('Traffic_Reduced port VMT'!P33, 'BCA Values'!$A$6:$A$34,0))</f>
        <v>18900</v>
      </c>
      <c r="Q39">
        <f>INDEX('BCA Values'!$B$6:$B$34,MATCH('Traffic_Reduced port VMT'!Q33, 'BCA Values'!$A$6:$A$34,0))</f>
        <v>18900</v>
      </c>
      <c r="R39">
        <f>INDEX('BCA Values'!$B$6:$B$34,MATCH('Traffic_Reduced port VMT'!R33, 'BCA Values'!$A$6:$A$34,0))</f>
        <v>18900</v>
      </c>
      <c r="S39">
        <f>INDEX('BCA Values'!$B$6:$B$34,MATCH('Traffic_Reduced port VMT'!S33, 'BCA Values'!$A$6:$A$34,0))</f>
        <v>18900</v>
      </c>
      <c r="T39">
        <f>INDEX('BCA Values'!$B$6:$B$34,MATCH('Traffic_Reduced port VMT'!T33, 'BCA Values'!$A$6:$A$34,0))</f>
        <v>18900</v>
      </c>
      <c r="U39">
        <f>INDEX('BCA Values'!$B$6:$B$34,MATCH('Traffic_Reduced port VMT'!U33, 'BCA Values'!$A$6:$A$34,0))</f>
        <v>18900</v>
      </c>
      <c r="V39">
        <f>INDEX('BCA Values'!$B$6:$B$34,MATCH('Traffic_Reduced port VMT'!V33, 'BCA Values'!$A$6:$A$34,0))</f>
        <v>18900</v>
      </c>
      <c r="W39">
        <f>INDEX('BCA Values'!$B$6:$B$34,MATCH('Traffic_Reduced port VMT'!W33, 'BCA Values'!$A$6:$A$34,0))</f>
        <v>18900</v>
      </c>
      <c r="X39">
        <f>INDEX('BCA Values'!$B$6:$B$34,MATCH('Traffic_Reduced port VMT'!X33, 'BCA Values'!$A$6:$A$34,0))</f>
        <v>18900</v>
      </c>
      <c r="Y39">
        <f>INDEX('BCA Values'!$B$6:$B$34,MATCH('Traffic_Reduced port VMT'!Y33, 'BCA Values'!$A$6:$A$34,0))</f>
        <v>18900</v>
      </c>
      <c r="Z39">
        <f>INDEX('BCA Values'!$B$6:$B$34,MATCH('Traffic_Reduced port VMT'!Z33, 'BCA Values'!$A$6:$A$34,0))</f>
        <v>18900</v>
      </c>
      <c r="AA39">
        <f>INDEX('BCA Values'!$B$6:$B$34,MATCH('Traffic_Reduced port VMT'!AA33, 'BCA Values'!$A$6:$A$34,0))</f>
        <v>18900</v>
      </c>
      <c r="AB39">
        <f>INDEX('BCA Values'!$B$6:$B$34,MATCH('Traffic_Reduced port VMT'!AB33, 'BCA Values'!$A$6:$A$34,0))</f>
        <v>18900</v>
      </c>
      <c r="AC39">
        <f>INDEX('BCA Values'!$B$6:$B$34,MATCH('Traffic_Reduced port VMT'!AC33, 'BCA Values'!$A$6:$A$34,0))</f>
        <v>18900</v>
      </c>
      <c r="AD39">
        <f>INDEX('BCA Values'!$B$6:$B$34,MATCH('Traffic_Reduced port VMT'!AD33, 'BCA Values'!$A$6:$A$34,0))</f>
        <v>18900</v>
      </c>
      <c r="AE39">
        <f>INDEX('BCA Values'!$B$6:$B$34,MATCH('Traffic_Reduced port VMT'!AE33, 'BCA Values'!$A$6:$A$34,0))</f>
        <v>18900</v>
      </c>
      <c r="AF39">
        <f t="shared" ref="AF39:AK41" si="2">AE39</f>
        <v>18900</v>
      </c>
      <c r="AG39">
        <f t="shared" si="2"/>
        <v>18900</v>
      </c>
      <c r="AH39">
        <f t="shared" si="2"/>
        <v>18900</v>
      </c>
      <c r="AI39">
        <f t="shared" si="2"/>
        <v>18900</v>
      </c>
      <c r="AJ39">
        <f t="shared" si="2"/>
        <v>18900</v>
      </c>
      <c r="AK39">
        <f t="shared" si="2"/>
        <v>18900</v>
      </c>
    </row>
    <row r="40" spans="1:41" x14ac:dyDescent="0.25">
      <c r="A40" t="s">
        <v>162</v>
      </c>
      <c r="C40" s="58"/>
      <c r="D40" s="58"/>
      <c r="E40" s="58"/>
      <c r="F40">
        <f>INDEX('BCA Values'!$E$6:$E$34,MATCH('Traffic_Reduced port VMT'!F33, 'BCA Values'!$A$6:$A$34,0))</f>
        <v>59</v>
      </c>
      <c r="G40">
        <f>INDEX('BCA Values'!$E$6:$E$34,MATCH('Traffic_Reduced port VMT'!G33, 'BCA Values'!$A$6:$A$34,0))</f>
        <v>60</v>
      </c>
      <c r="H40">
        <f>INDEX('BCA Values'!$E$6:$E$34,MATCH('Traffic_Reduced port VMT'!H33, 'BCA Values'!$A$6:$A$34,0))</f>
        <v>61</v>
      </c>
      <c r="I40">
        <f>INDEX('BCA Values'!$E$6:$E$34,MATCH('Traffic_Reduced port VMT'!I33, 'BCA Values'!$A$6:$A$34,0))</f>
        <v>62</v>
      </c>
      <c r="J40">
        <f>INDEX('BCA Values'!$E$6:$E$34,MATCH('Traffic_Reduced port VMT'!J33, 'BCA Values'!$A$6:$A$34,0))</f>
        <v>63</v>
      </c>
      <c r="K40">
        <f>INDEX('BCA Values'!$E$6:$E$34,MATCH('Traffic_Reduced port VMT'!K33, 'BCA Values'!$A$6:$A$34,0))</f>
        <v>65</v>
      </c>
      <c r="L40">
        <f>INDEX('BCA Values'!$E$6:$E$34,MATCH('Traffic_Reduced port VMT'!L33, 'BCA Values'!$A$6:$A$34,0))</f>
        <v>66</v>
      </c>
      <c r="M40">
        <f>INDEX('BCA Values'!$E$6:$E$34,MATCH('Traffic_Reduced port VMT'!M33, 'BCA Values'!$A$6:$A$34,0))</f>
        <v>67</v>
      </c>
      <c r="N40">
        <f>INDEX('BCA Values'!$E$6:$E$34,MATCH('Traffic_Reduced port VMT'!N33, 'BCA Values'!$A$6:$A$34,0))</f>
        <v>68</v>
      </c>
      <c r="O40">
        <f>INDEX('BCA Values'!$E$6:$E$34,MATCH('Traffic_Reduced port VMT'!O33, 'BCA Values'!$A$6:$A$34,0))</f>
        <v>69</v>
      </c>
      <c r="P40">
        <f>INDEX('BCA Values'!$E$6:$E$34,MATCH('Traffic_Reduced port VMT'!P33, 'BCA Values'!$A$6:$A$34,0))</f>
        <v>70</v>
      </c>
      <c r="Q40">
        <f>INDEX('BCA Values'!$E$6:$E$34,MATCH('Traffic_Reduced port VMT'!Q33, 'BCA Values'!$A$6:$A$34,0))</f>
        <v>72</v>
      </c>
      <c r="R40">
        <f>INDEX('BCA Values'!$E$6:$E$34,MATCH('Traffic_Reduced port VMT'!R33, 'BCA Values'!$A$6:$A$34,0))</f>
        <v>73</v>
      </c>
      <c r="S40">
        <f>INDEX('BCA Values'!$E$6:$E$34,MATCH('Traffic_Reduced port VMT'!S33, 'BCA Values'!$A$6:$A$34,0))</f>
        <v>74</v>
      </c>
      <c r="T40">
        <f>INDEX('BCA Values'!$E$6:$E$34,MATCH('Traffic_Reduced port VMT'!T33, 'BCA Values'!$A$6:$A$34,0))</f>
        <v>75</v>
      </c>
      <c r="U40">
        <f>INDEX('BCA Values'!$E$6:$E$34,MATCH('Traffic_Reduced port VMT'!U33, 'BCA Values'!$A$6:$A$34,0))</f>
        <v>76</v>
      </c>
      <c r="V40">
        <f>INDEX('BCA Values'!$E$6:$E$34,MATCH('Traffic_Reduced port VMT'!V33, 'BCA Values'!$A$6:$A$34,0))</f>
        <v>78</v>
      </c>
      <c r="W40">
        <f>INDEX('BCA Values'!$E$6:$E$34,MATCH('Traffic_Reduced port VMT'!W33, 'BCA Values'!$A$6:$A$34,0))</f>
        <v>79</v>
      </c>
      <c r="X40">
        <f>INDEX('BCA Values'!$E$6:$E$34,MATCH('Traffic_Reduced port VMT'!X33, 'BCA Values'!$A$6:$A$34,0))</f>
        <v>80</v>
      </c>
      <c r="Y40">
        <f>INDEX('BCA Values'!$E$6:$E$34,MATCH('Traffic_Reduced port VMT'!Y33, 'BCA Values'!$A$6:$A$34,0))</f>
        <v>81</v>
      </c>
      <c r="Z40">
        <f>INDEX('BCA Values'!$E$6:$E$34,MATCH('Traffic_Reduced port VMT'!Z33, 'BCA Values'!$A$6:$A$34,0))</f>
        <v>82</v>
      </c>
      <c r="AA40">
        <f>INDEX('BCA Values'!$E$6:$E$34,MATCH('Traffic_Reduced port VMT'!AA33, 'BCA Values'!$A$6:$A$34,0))</f>
        <v>84</v>
      </c>
      <c r="AB40">
        <f>INDEX('BCA Values'!$E$6:$E$34,MATCH('Traffic_Reduced port VMT'!AB33, 'BCA Values'!$A$6:$A$34,0))</f>
        <v>85</v>
      </c>
      <c r="AC40">
        <f>INDEX('BCA Values'!$E$6:$E$34,MATCH('Traffic_Reduced port VMT'!AC33, 'BCA Values'!$A$6:$A$34,0))</f>
        <v>86</v>
      </c>
      <c r="AD40">
        <f>INDEX('BCA Values'!$E$6:$E$34,MATCH('Traffic_Reduced port VMT'!AD33, 'BCA Values'!$A$6:$A$34,0))</f>
        <v>87</v>
      </c>
      <c r="AE40">
        <f>INDEX('BCA Values'!$E$6:$E$34,MATCH('Traffic_Reduced port VMT'!AE33, 'BCA Values'!$A$6:$A$34,0))</f>
        <v>88</v>
      </c>
      <c r="AF40" s="9">
        <f t="shared" si="2"/>
        <v>88</v>
      </c>
      <c r="AG40" s="9">
        <f t="shared" si="2"/>
        <v>88</v>
      </c>
      <c r="AH40" s="9">
        <f t="shared" si="2"/>
        <v>88</v>
      </c>
      <c r="AI40" s="9">
        <f t="shared" si="2"/>
        <v>88</v>
      </c>
      <c r="AJ40" s="9">
        <f t="shared" si="2"/>
        <v>88</v>
      </c>
      <c r="AK40" s="9">
        <f t="shared" si="2"/>
        <v>88</v>
      </c>
    </row>
    <row r="41" spans="1:41" x14ac:dyDescent="0.25">
      <c r="A41" t="s">
        <v>163</v>
      </c>
      <c r="C41" s="58"/>
      <c r="D41" s="58"/>
      <c r="E41" s="58"/>
      <c r="F41">
        <f>INDEX('BCA Values'!$D$6:$D$34,MATCH('Traffic_Reduced port VMT'!F33, 'BCA Values'!$A$6:$A$34,0))</f>
        <v>838800</v>
      </c>
      <c r="G41">
        <f>INDEX('BCA Values'!$D$6:$D$34,MATCH('Traffic_Reduced port VMT'!G33, 'BCA Values'!$A$6:$A$34,0))</f>
        <v>852100</v>
      </c>
      <c r="H41">
        <f>INDEX('BCA Values'!$D$6:$D$34,MATCH('Traffic_Reduced port VMT'!H33, 'BCA Values'!$A$6:$A$34,0))</f>
        <v>865600</v>
      </c>
      <c r="I41">
        <f>INDEX('BCA Values'!$D$6:$D$34,MATCH('Traffic_Reduced port VMT'!I33, 'BCA Values'!$A$6:$A$34,0))</f>
        <v>879400</v>
      </c>
      <c r="J41">
        <f>INDEX('BCA Values'!$D$6:$D$34,MATCH('Traffic_Reduced port VMT'!J33, 'BCA Values'!$A$6:$A$34,0))</f>
        <v>893400</v>
      </c>
      <c r="K41">
        <f>INDEX('BCA Values'!$D$6:$D$34,MATCH('Traffic_Reduced port VMT'!K33, 'BCA Values'!$A$6:$A$34,0))</f>
        <v>907600</v>
      </c>
      <c r="L41">
        <f>INDEX('BCA Values'!$D$6:$D$34,MATCH('Traffic_Reduced port VMT'!L33, 'BCA Values'!$A$6:$A$34,0))</f>
        <v>907600</v>
      </c>
      <c r="M41">
        <f>INDEX('BCA Values'!$D$6:$D$34,MATCH('Traffic_Reduced port VMT'!M33, 'BCA Values'!$A$6:$A$34,0))</f>
        <v>907600</v>
      </c>
      <c r="N41">
        <f>INDEX('BCA Values'!$D$6:$D$34,MATCH('Traffic_Reduced port VMT'!N33, 'BCA Values'!$A$6:$A$34,0))</f>
        <v>907600</v>
      </c>
      <c r="O41">
        <f>INDEX('BCA Values'!$D$6:$D$34,MATCH('Traffic_Reduced port VMT'!O33, 'BCA Values'!$A$6:$A$34,0))</f>
        <v>907600</v>
      </c>
      <c r="P41">
        <f>INDEX('BCA Values'!$D$6:$D$34,MATCH('Traffic_Reduced port VMT'!P33, 'BCA Values'!$A$6:$A$34,0))</f>
        <v>907600</v>
      </c>
      <c r="Q41">
        <f>INDEX('BCA Values'!$D$6:$D$34,MATCH('Traffic_Reduced port VMT'!Q33, 'BCA Values'!$A$6:$A$34,0))</f>
        <v>907600</v>
      </c>
      <c r="R41">
        <f>INDEX('BCA Values'!$D$6:$D$34,MATCH('Traffic_Reduced port VMT'!R33, 'BCA Values'!$A$6:$A$34,0))</f>
        <v>907600</v>
      </c>
      <c r="S41">
        <f>INDEX('BCA Values'!$D$6:$D$34,MATCH('Traffic_Reduced port VMT'!S33, 'BCA Values'!$A$6:$A$34,0))</f>
        <v>907600</v>
      </c>
      <c r="T41">
        <f>INDEX('BCA Values'!$D$6:$D$34,MATCH('Traffic_Reduced port VMT'!T33, 'BCA Values'!$A$6:$A$34,0))</f>
        <v>907600</v>
      </c>
      <c r="U41">
        <f>INDEX('BCA Values'!$D$6:$D$34,MATCH('Traffic_Reduced port VMT'!U33, 'BCA Values'!$A$6:$A$34,0))</f>
        <v>907600</v>
      </c>
      <c r="V41">
        <f>INDEX('BCA Values'!$D$6:$D$34,MATCH('Traffic_Reduced port VMT'!V33, 'BCA Values'!$A$6:$A$34,0))</f>
        <v>907600</v>
      </c>
      <c r="W41">
        <f>INDEX('BCA Values'!$D$6:$D$34,MATCH('Traffic_Reduced port VMT'!W33, 'BCA Values'!$A$6:$A$34,0))</f>
        <v>907600</v>
      </c>
      <c r="X41">
        <f>INDEX('BCA Values'!$D$6:$D$34,MATCH('Traffic_Reduced port VMT'!X33, 'BCA Values'!$A$6:$A$34,0))</f>
        <v>907600</v>
      </c>
      <c r="Y41">
        <f>INDEX('BCA Values'!$D$6:$D$34,MATCH('Traffic_Reduced port VMT'!Y33, 'BCA Values'!$A$6:$A$34,0))</f>
        <v>907600</v>
      </c>
      <c r="Z41">
        <f>INDEX('BCA Values'!$D$6:$D$34,MATCH('Traffic_Reduced port VMT'!Z33, 'BCA Values'!$A$6:$A$34,0))</f>
        <v>907600</v>
      </c>
      <c r="AA41">
        <f>INDEX('BCA Values'!$D$6:$D$34,MATCH('Traffic_Reduced port VMT'!AA33, 'BCA Values'!$A$6:$A$34,0))</f>
        <v>907600</v>
      </c>
      <c r="AB41">
        <f>INDEX('BCA Values'!$D$6:$D$34,MATCH('Traffic_Reduced port VMT'!AB33, 'BCA Values'!$A$6:$A$34,0))</f>
        <v>907600</v>
      </c>
      <c r="AC41">
        <f>INDEX('BCA Values'!$D$6:$D$34,MATCH('Traffic_Reduced port VMT'!AC33, 'BCA Values'!$A$6:$A$34,0))</f>
        <v>907600</v>
      </c>
      <c r="AD41">
        <f>INDEX('BCA Values'!$D$6:$D$34,MATCH('Traffic_Reduced port VMT'!AD33, 'BCA Values'!$A$6:$A$34,0))</f>
        <v>907600</v>
      </c>
      <c r="AE41">
        <f>INDEX('BCA Values'!$D$6:$D$34,MATCH('Traffic_Reduced port VMT'!AE33, 'BCA Values'!$A$6:$A$34,0))</f>
        <v>907600</v>
      </c>
      <c r="AF41" s="9">
        <f t="shared" si="2"/>
        <v>907600</v>
      </c>
      <c r="AG41" s="9">
        <f t="shared" si="2"/>
        <v>907600</v>
      </c>
      <c r="AH41" s="9">
        <f t="shared" si="2"/>
        <v>907600</v>
      </c>
      <c r="AI41" s="9">
        <f t="shared" si="2"/>
        <v>907600</v>
      </c>
      <c r="AJ41" s="9">
        <f t="shared" si="2"/>
        <v>907600</v>
      </c>
      <c r="AK41" s="9">
        <f t="shared" si="2"/>
        <v>907600</v>
      </c>
    </row>
    <row r="42" spans="1:41" x14ac:dyDescent="0.25">
      <c r="A42" s="12" t="s">
        <v>139</v>
      </c>
      <c r="C42" s="16">
        <f t="shared" ref="C42:C47" si="3">-NPV($C$32, G42:AK42)</f>
        <v>232260.92053566049</v>
      </c>
      <c r="D42" s="16">
        <f t="shared" ref="D42:D47" si="4">-NPV($D$32, G42:AK42)</f>
        <v>142781.19247236277</v>
      </c>
      <c r="E42" s="16">
        <f t="shared" ref="E42:E47" si="5">-SUM(G42:AK42)</f>
        <v>363701.30225435033</v>
      </c>
      <c r="F42" s="13">
        <f t="shared" ref="F42" si="6">F38*$C$13</f>
        <v>0</v>
      </c>
      <c r="G42" s="13">
        <f>G38*$C$13</f>
        <v>-2721.5100378787888</v>
      </c>
      <c r="H42" s="13">
        <f t="shared" ref="H42:AJ42" si="7">H38*$C$13</f>
        <v>-11918.260151515156</v>
      </c>
      <c r="I42" s="13">
        <f t="shared" si="7"/>
        <v>-12141.270680520231</v>
      </c>
      <c r="J42" s="13">
        <f t="shared" si="7"/>
        <v>-12141.270680520231</v>
      </c>
      <c r="K42" s="13">
        <f t="shared" si="7"/>
        <v>-12141.270680520231</v>
      </c>
      <c r="L42" s="13">
        <f t="shared" si="7"/>
        <v>-12141.270680520231</v>
      </c>
      <c r="M42" s="13">
        <f t="shared" si="7"/>
        <v>-12141.270680520231</v>
      </c>
      <c r="N42" s="13">
        <f t="shared" si="7"/>
        <v>-12141.270680520231</v>
      </c>
      <c r="O42" s="13">
        <f t="shared" si="7"/>
        <v>-12141.270680520231</v>
      </c>
      <c r="P42" s="13">
        <f t="shared" si="7"/>
        <v>-12141.270680520231</v>
      </c>
      <c r="Q42" s="13">
        <f t="shared" si="7"/>
        <v>-12141.270680520231</v>
      </c>
      <c r="R42" s="13">
        <f t="shared" si="7"/>
        <v>-12141.270680520231</v>
      </c>
      <c r="S42" s="13">
        <f t="shared" si="7"/>
        <v>-12141.270680520231</v>
      </c>
      <c r="T42" s="13">
        <f t="shared" si="7"/>
        <v>-12141.270680520231</v>
      </c>
      <c r="U42" s="13">
        <f t="shared" si="7"/>
        <v>-12141.270680520231</v>
      </c>
      <c r="V42" s="13">
        <f t="shared" si="7"/>
        <v>-12141.270680520231</v>
      </c>
      <c r="W42" s="13">
        <f t="shared" si="7"/>
        <v>-12141.270680520231</v>
      </c>
      <c r="X42" s="13">
        <f t="shared" si="7"/>
        <v>-12141.270680520231</v>
      </c>
      <c r="Y42" s="13">
        <f t="shared" si="7"/>
        <v>-12141.270680520231</v>
      </c>
      <c r="Z42" s="13">
        <f t="shared" si="7"/>
        <v>-12141.270680520231</v>
      </c>
      <c r="AA42" s="13">
        <f t="shared" si="7"/>
        <v>-12141.270680520231</v>
      </c>
      <c r="AB42" s="13">
        <f t="shared" si="7"/>
        <v>-12141.270680520231</v>
      </c>
      <c r="AC42" s="13">
        <f t="shared" si="7"/>
        <v>-12141.270680520231</v>
      </c>
      <c r="AD42" s="13">
        <f t="shared" si="7"/>
        <v>-12141.270680520231</v>
      </c>
      <c r="AE42" s="13">
        <f t="shared" si="7"/>
        <v>-12141.270680520231</v>
      </c>
      <c r="AF42" s="13">
        <f t="shared" si="7"/>
        <v>-12141.270680520231</v>
      </c>
      <c r="AG42" s="13">
        <f t="shared" si="7"/>
        <v>-12141.270680520231</v>
      </c>
      <c r="AH42" s="13">
        <f t="shared" si="7"/>
        <v>-12141.270680520231</v>
      </c>
      <c r="AI42" s="13">
        <f t="shared" si="7"/>
        <v>-12141.270680520231</v>
      </c>
      <c r="AJ42" s="13">
        <f t="shared" si="7"/>
        <v>-12141.270680520231</v>
      </c>
      <c r="AK42" s="13">
        <f t="shared" ref="AK42" si="8">AK38*$C$13</f>
        <v>-9105.9530103901725</v>
      </c>
    </row>
    <row r="43" spans="1:41" x14ac:dyDescent="0.25">
      <c r="A43" s="12" t="s">
        <v>87</v>
      </c>
      <c r="C43" s="16">
        <f t="shared" si="3"/>
        <v>33251.876412184007</v>
      </c>
      <c r="D43" s="16">
        <f t="shared" si="4"/>
        <v>20441.418018690372</v>
      </c>
      <c r="E43" s="16">
        <f t="shared" si="5"/>
        <v>52069.675456466677</v>
      </c>
      <c r="F43" s="13">
        <f t="shared" ref="F43" si="9">(F38/$B$5)*$C$5</f>
        <v>0</v>
      </c>
      <c r="G43" s="13">
        <f t="shared" ref="G43:AJ43" si="10">(G38/$B$5)*$C$5</f>
        <v>-389.62781696273089</v>
      </c>
      <c r="H43" s="13">
        <f t="shared" si="10"/>
        <v>-1706.2901184256361</v>
      </c>
      <c r="I43" s="13">
        <f t="shared" si="10"/>
        <v>-1738.217652907073</v>
      </c>
      <c r="J43" s="13">
        <f t="shared" si="10"/>
        <v>-1738.217652907073</v>
      </c>
      <c r="K43" s="13">
        <f t="shared" si="10"/>
        <v>-1738.217652907073</v>
      </c>
      <c r="L43" s="13">
        <f t="shared" si="10"/>
        <v>-1738.217652907073</v>
      </c>
      <c r="M43" s="13">
        <f t="shared" si="10"/>
        <v>-1738.217652907073</v>
      </c>
      <c r="N43" s="13">
        <f t="shared" si="10"/>
        <v>-1738.217652907073</v>
      </c>
      <c r="O43" s="13">
        <f t="shared" si="10"/>
        <v>-1738.217652907073</v>
      </c>
      <c r="P43" s="13">
        <f t="shared" si="10"/>
        <v>-1738.217652907073</v>
      </c>
      <c r="Q43" s="13">
        <f t="shared" si="10"/>
        <v>-1738.217652907073</v>
      </c>
      <c r="R43" s="13">
        <f t="shared" si="10"/>
        <v>-1738.217652907073</v>
      </c>
      <c r="S43" s="13">
        <f t="shared" si="10"/>
        <v>-1738.217652907073</v>
      </c>
      <c r="T43" s="13">
        <f t="shared" si="10"/>
        <v>-1738.217652907073</v>
      </c>
      <c r="U43" s="13">
        <f t="shared" si="10"/>
        <v>-1738.217652907073</v>
      </c>
      <c r="V43" s="13">
        <f t="shared" si="10"/>
        <v>-1738.217652907073</v>
      </c>
      <c r="W43" s="13">
        <f t="shared" si="10"/>
        <v>-1738.217652907073</v>
      </c>
      <c r="X43" s="13">
        <f t="shared" si="10"/>
        <v>-1738.217652907073</v>
      </c>
      <c r="Y43" s="13">
        <f t="shared" si="10"/>
        <v>-1738.217652907073</v>
      </c>
      <c r="Z43" s="13">
        <f t="shared" si="10"/>
        <v>-1738.217652907073</v>
      </c>
      <c r="AA43" s="13">
        <f t="shared" si="10"/>
        <v>-1738.217652907073</v>
      </c>
      <c r="AB43" s="13">
        <f t="shared" si="10"/>
        <v>-1738.217652907073</v>
      </c>
      <c r="AC43" s="13">
        <f t="shared" si="10"/>
        <v>-1738.217652907073</v>
      </c>
      <c r="AD43" s="13">
        <f t="shared" si="10"/>
        <v>-1738.217652907073</v>
      </c>
      <c r="AE43" s="13">
        <f t="shared" si="10"/>
        <v>-1738.217652907073</v>
      </c>
      <c r="AF43" s="13">
        <f t="shared" si="10"/>
        <v>-1738.217652907073</v>
      </c>
      <c r="AG43" s="13">
        <f t="shared" si="10"/>
        <v>-1738.217652907073</v>
      </c>
      <c r="AH43" s="13">
        <f t="shared" si="10"/>
        <v>-1738.217652907073</v>
      </c>
      <c r="AI43" s="13">
        <f t="shared" si="10"/>
        <v>-1738.217652907073</v>
      </c>
      <c r="AJ43" s="13">
        <f t="shared" si="10"/>
        <v>-1738.217652907073</v>
      </c>
      <c r="AK43" s="13">
        <f t="shared" ref="AK43" si="11">(AK38/$B$5)*$C$5</f>
        <v>-1303.6632396803045</v>
      </c>
    </row>
    <row r="44" spans="1:41" x14ac:dyDescent="0.25">
      <c r="A44" s="12" t="s">
        <v>164</v>
      </c>
      <c r="C44" s="16">
        <f t="shared" si="3"/>
        <v>14063.644399765501</v>
      </c>
      <c r="D44" s="16">
        <f t="shared" si="4"/>
        <v>8474.3063565784814</v>
      </c>
      <c r="E44" s="16">
        <f t="shared" si="5"/>
        <v>22378.63301216629</v>
      </c>
      <c r="F44" s="13">
        <f t="shared" ref="F44" si="12">(F38*$C$20*F39)+(F38*$C$22*F40)+(F38*$C$23*F41)</f>
        <v>0</v>
      </c>
      <c r="G44" s="13">
        <f t="shared" ref="G44:AJ44" si="13">(G38*$C$20*G39)+(G38*$C$22*G40)+(G38*$C$23*G41)</f>
        <v>-143.58525285984857</v>
      </c>
      <c r="H44" s="13">
        <f t="shared" si="13"/>
        <v>-639.99168972424275</v>
      </c>
      <c r="I44" s="13">
        <f t="shared" si="13"/>
        <v>-662.61525686642744</v>
      </c>
      <c r="J44" s="13">
        <f t="shared" si="13"/>
        <v>-674.13624084683397</v>
      </c>
      <c r="K44" s="13">
        <f t="shared" si="13"/>
        <v>-689.73717261829847</v>
      </c>
      <c r="L44" s="13">
        <f t="shared" si="13"/>
        <v>-694.59368089050656</v>
      </c>
      <c r="M44" s="13">
        <f t="shared" si="13"/>
        <v>-699.45018916271465</v>
      </c>
      <c r="N44" s="13">
        <f t="shared" si="13"/>
        <v>-704.30669743492274</v>
      </c>
      <c r="O44" s="13">
        <f t="shared" si="13"/>
        <v>-709.16320570713083</v>
      </c>
      <c r="P44" s="13">
        <f t="shared" si="13"/>
        <v>-714.01971397933892</v>
      </c>
      <c r="Q44" s="13">
        <f t="shared" si="13"/>
        <v>-723.73273052375509</v>
      </c>
      <c r="R44" s="13">
        <f t="shared" si="13"/>
        <v>-728.58923879596318</v>
      </c>
      <c r="S44" s="13">
        <f t="shared" si="13"/>
        <v>-733.44574706817139</v>
      </c>
      <c r="T44" s="13">
        <f t="shared" si="13"/>
        <v>-738.30225534037936</v>
      </c>
      <c r="U44" s="13">
        <f t="shared" si="13"/>
        <v>-743.15876361258756</v>
      </c>
      <c r="V44" s="13">
        <f t="shared" si="13"/>
        <v>-752.87178015700374</v>
      </c>
      <c r="W44" s="13">
        <f t="shared" si="13"/>
        <v>-757.72828842921172</v>
      </c>
      <c r="X44" s="13">
        <f t="shared" si="13"/>
        <v>-762.58479670141992</v>
      </c>
      <c r="Y44" s="13">
        <f t="shared" si="13"/>
        <v>-767.44130497362789</v>
      </c>
      <c r="Z44" s="13">
        <f t="shared" si="13"/>
        <v>-772.2978132458361</v>
      </c>
      <c r="AA44" s="13">
        <f t="shared" si="13"/>
        <v>-782.01082979025227</v>
      </c>
      <c r="AB44" s="13">
        <f t="shared" si="13"/>
        <v>-786.86733806246025</v>
      </c>
      <c r="AC44" s="13">
        <f t="shared" si="13"/>
        <v>-791.72384633466845</v>
      </c>
      <c r="AD44" s="13">
        <f t="shared" si="13"/>
        <v>-796.58035460687643</v>
      </c>
      <c r="AE44" s="13">
        <f t="shared" si="13"/>
        <v>-801.43686287908463</v>
      </c>
      <c r="AF44" s="13">
        <f t="shared" si="13"/>
        <v>-801.43686287908463</v>
      </c>
      <c r="AG44" s="13">
        <f t="shared" si="13"/>
        <v>-801.43686287908463</v>
      </c>
      <c r="AH44" s="13">
        <f t="shared" si="13"/>
        <v>-801.43686287908463</v>
      </c>
      <c r="AI44" s="13">
        <f t="shared" si="13"/>
        <v>-801.43686287908463</v>
      </c>
      <c r="AJ44" s="13">
        <f t="shared" si="13"/>
        <v>-801.43686287908463</v>
      </c>
      <c r="AK44" s="13">
        <f t="shared" ref="AK44" si="14">(AK38*$C$20*AK39)+(AK38*$C$22*AK40)+(AK38*$C$23*AK41)</f>
        <v>-601.07764715931353</v>
      </c>
    </row>
    <row r="45" spans="1:41" x14ac:dyDescent="0.25">
      <c r="A45" s="12" t="s">
        <v>165</v>
      </c>
      <c r="C45" s="16">
        <f t="shared" si="3"/>
        <v>35048.482311317559</v>
      </c>
      <c r="D45" s="16">
        <f t="shared" si="4"/>
        <v>21545.872147648268</v>
      </c>
      <c r="E45" s="16">
        <f t="shared" si="5"/>
        <v>54883.011008765992</v>
      </c>
      <c r="F45" s="13">
        <f>F38*$C$28*'BCA Values'!$H$16</f>
        <v>0</v>
      </c>
      <c r="G45" s="13">
        <f>G38*$C$28*'BCA Values'!$H$16</f>
        <v>-410.67949012982103</v>
      </c>
      <c r="H45" s="13">
        <f>H38*$C$28*'BCA Values'!$H$16</f>
        <v>-1798.4813335738297</v>
      </c>
      <c r="I45" s="13">
        <f>I38*$C$28*'BCA Values'!$H$16</f>
        <v>-1832.1339194804279</v>
      </c>
      <c r="J45" s="13">
        <f>J38*$C$28*'BCA Values'!$H$16</f>
        <v>-1832.1339194804279</v>
      </c>
      <c r="K45" s="13">
        <f>K38*$C$28*'BCA Values'!$H$16</f>
        <v>-1832.1339194804279</v>
      </c>
      <c r="L45" s="13">
        <f>L38*$C$28*'BCA Values'!$H$16</f>
        <v>-1832.1339194804279</v>
      </c>
      <c r="M45" s="13">
        <f>M38*$C$28*'BCA Values'!$H$16</f>
        <v>-1832.1339194804279</v>
      </c>
      <c r="N45" s="13">
        <f>N38*$C$28*'BCA Values'!$H$16</f>
        <v>-1832.1339194804279</v>
      </c>
      <c r="O45" s="13">
        <f>O38*$C$28*'BCA Values'!$H$16</f>
        <v>-1832.1339194804279</v>
      </c>
      <c r="P45" s="13">
        <f>P38*$C$28*'BCA Values'!$H$16</f>
        <v>-1832.1339194804279</v>
      </c>
      <c r="Q45" s="13">
        <f>Q38*$C$28*'BCA Values'!$H$16</f>
        <v>-1832.1339194804279</v>
      </c>
      <c r="R45" s="13">
        <f>R38*$C$28*'BCA Values'!$H$16</f>
        <v>-1832.1339194804279</v>
      </c>
      <c r="S45" s="13">
        <f>S38*$C$28*'BCA Values'!$H$16</f>
        <v>-1832.1339194804279</v>
      </c>
      <c r="T45" s="13">
        <f>T38*$C$28*'BCA Values'!$H$16</f>
        <v>-1832.1339194804279</v>
      </c>
      <c r="U45" s="13">
        <f>U38*$C$28*'BCA Values'!$H$16</f>
        <v>-1832.1339194804279</v>
      </c>
      <c r="V45" s="13">
        <f>V38*$C$28*'BCA Values'!$H$16</f>
        <v>-1832.1339194804279</v>
      </c>
      <c r="W45" s="13">
        <f>W38*$C$28*'BCA Values'!$H$16</f>
        <v>-1832.1339194804279</v>
      </c>
      <c r="X45" s="13">
        <f>X38*$C$28*'BCA Values'!$H$16</f>
        <v>-1832.1339194804279</v>
      </c>
      <c r="Y45" s="13">
        <f>Y38*$C$28*'BCA Values'!$H$16</f>
        <v>-1832.1339194804279</v>
      </c>
      <c r="Z45" s="13">
        <f>Z38*$C$28*'BCA Values'!$H$16</f>
        <v>-1832.1339194804279</v>
      </c>
      <c r="AA45" s="13">
        <f>AA38*$C$28*'BCA Values'!$H$16</f>
        <v>-1832.1339194804279</v>
      </c>
      <c r="AB45" s="13">
        <f>AB38*$C$28*'BCA Values'!$H$16</f>
        <v>-1832.1339194804279</v>
      </c>
      <c r="AC45" s="13">
        <f>AC38*$C$28*'BCA Values'!$H$16</f>
        <v>-1832.1339194804279</v>
      </c>
      <c r="AD45" s="13">
        <f>AD38*$C$28*'BCA Values'!$H$16</f>
        <v>-1832.1339194804279</v>
      </c>
      <c r="AE45" s="13">
        <f>AE38*$C$28*'BCA Values'!$H$16</f>
        <v>-1832.1339194804279</v>
      </c>
      <c r="AF45" s="13">
        <f>AF38*$C$28*'BCA Values'!$H$16</f>
        <v>-1832.1339194804279</v>
      </c>
      <c r="AG45" s="13">
        <f>AG38*$C$28*'BCA Values'!$H$16</f>
        <v>-1832.1339194804279</v>
      </c>
      <c r="AH45" s="13">
        <f>AH38*$C$28*'BCA Values'!$H$16</f>
        <v>-1832.1339194804279</v>
      </c>
      <c r="AI45" s="13">
        <f>AI38*$C$28*'BCA Values'!$H$16</f>
        <v>-1832.1339194804279</v>
      </c>
      <c r="AJ45" s="13">
        <f>AJ38*$C$28*'BCA Values'!$H$16</f>
        <v>-1832.1339194804279</v>
      </c>
      <c r="AK45" s="13">
        <f>AK38*$C$28*'BCA Values'!$H$16</f>
        <v>-1374.100439610321</v>
      </c>
    </row>
    <row r="46" spans="1:41" x14ac:dyDescent="0.25">
      <c r="A46" s="12" t="s">
        <v>166</v>
      </c>
      <c r="C46" s="16">
        <f t="shared" si="3"/>
        <v>60731.033594526583</v>
      </c>
      <c r="D46" s="16">
        <f t="shared" si="4"/>
        <v>37334.086925631898</v>
      </c>
      <c r="E46" s="16">
        <f t="shared" si="5"/>
        <v>95099.75227274932</v>
      </c>
      <c r="F46" s="13">
        <f>F38*$B$28*'BCA Values'!$H$15</f>
        <v>0</v>
      </c>
      <c r="G46" s="13">
        <f>G38*$B$28*'BCA Values'!$H$15</f>
        <v>-711.61397775000023</v>
      </c>
      <c r="H46" s="13">
        <f>H38*$B$28*'BCA Values'!$H$15</f>
        <v>-3116.358343800001</v>
      </c>
      <c r="I46" s="13">
        <f>I38*$B$28*'BCA Values'!$H$15</f>
        <v>-3174.6706069982383</v>
      </c>
      <c r="J46" s="13">
        <f>J38*$B$28*'BCA Values'!$H$15</f>
        <v>-3174.6706069982383</v>
      </c>
      <c r="K46" s="13">
        <f>K38*$B$28*'BCA Values'!$H$15</f>
        <v>-3174.6706069982383</v>
      </c>
      <c r="L46" s="13">
        <f>L38*$B$28*'BCA Values'!$H$15</f>
        <v>-3174.6706069982383</v>
      </c>
      <c r="M46" s="13">
        <f>M38*$B$28*'BCA Values'!$H$15</f>
        <v>-3174.6706069982383</v>
      </c>
      <c r="N46" s="13">
        <f>N38*$B$28*'BCA Values'!$H$15</f>
        <v>-3174.6706069982383</v>
      </c>
      <c r="O46" s="13">
        <f>O38*$B$28*'BCA Values'!$H$15</f>
        <v>-3174.6706069982383</v>
      </c>
      <c r="P46" s="13">
        <f>P38*$B$28*'BCA Values'!$H$15</f>
        <v>-3174.6706069982383</v>
      </c>
      <c r="Q46" s="13">
        <f>Q38*$B$28*'BCA Values'!$H$15</f>
        <v>-3174.6706069982383</v>
      </c>
      <c r="R46" s="13">
        <f>R38*$B$28*'BCA Values'!$H$15</f>
        <v>-3174.6706069982383</v>
      </c>
      <c r="S46" s="13">
        <f>S38*$B$28*'BCA Values'!$H$15</f>
        <v>-3174.6706069982383</v>
      </c>
      <c r="T46" s="13">
        <f>T38*$B$28*'BCA Values'!$H$15</f>
        <v>-3174.6706069982383</v>
      </c>
      <c r="U46" s="13">
        <f>U38*$B$28*'BCA Values'!$H$15</f>
        <v>-3174.6706069982383</v>
      </c>
      <c r="V46" s="13">
        <f>V38*$B$28*'BCA Values'!$H$15</f>
        <v>-3174.6706069982383</v>
      </c>
      <c r="W46" s="13">
        <f>W38*$B$28*'BCA Values'!$H$15</f>
        <v>-3174.6706069982383</v>
      </c>
      <c r="X46" s="13">
        <f>X38*$B$28*'BCA Values'!$H$15</f>
        <v>-3174.6706069982383</v>
      </c>
      <c r="Y46" s="13">
        <f>Y38*$B$28*'BCA Values'!$H$15</f>
        <v>-3174.6706069982383</v>
      </c>
      <c r="Z46" s="13">
        <f>Z38*$B$28*'BCA Values'!$H$15</f>
        <v>-3174.6706069982383</v>
      </c>
      <c r="AA46" s="13">
        <f>AA38*$B$28*'BCA Values'!$H$15</f>
        <v>-3174.6706069982383</v>
      </c>
      <c r="AB46" s="13">
        <f>AB38*$B$28*'BCA Values'!$H$15</f>
        <v>-3174.6706069982383</v>
      </c>
      <c r="AC46" s="13">
        <f>AC38*$B$28*'BCA Values'!$H$15</f>
        <v>-3174.6706069982383</v>
      </c>
      <c r="AD46" s="13">
        <f>AD38*$B$28*'BCA Values'!$H$15</f>
        <v>-3174.6706069982383</v>
      </c>
      <c r="AE46" s="13">
        <f>AE38*$B$28*'BCA Values'!$H$15</f>
        <v>-3174.6706069982383</v>
      </c>
      <c r="AF46" s="13">
        <f>AF38*$B$28*'BCA Values'!$H$15</f>
        <v>-3174.6706069982383</v>
      </c>
      <c r="AG46" s="13">
        <f>AG38*$B$28*'BCA Values'!$H$15</f>
        <v>-3174.6706069982383</v>
      </c>
      <c r="AH46" s="13">
        <f>AH38*$B$28*'BCA Values'!$H$15</f>
        <v>-3174.6706069982383</v>
      </c>
      <c r="AI46" s="13">
        <f>AI38*$B$28*'BCA Values'!$H$15</f>
        <v>-3174.6706069982383</v>
      </c>
      <c r="AJ46" s="13">
        <f>AJ38*$B$28*'BCA Values'!$H$15</f>
        <v>-3174.6706069982383</v>
      </c>
      <c r="AK46" s="13">
        <f>AK38*$B$28*'BCA Values'!$H$15</f>
        <v>-2381.0029552486785</v>
      </c>
    </row>
    <row r="47" spans="1:41" x14ac:dyDescent="0.25">
      <c r="A47" s="12" t="s">
        <v>167</v>
      </c>
      <c r="C47" s="16">
        <f t="shared" si="3"/>
        <v>1549.5543122491126</v>
      </c>
      <c r="D47" s="16">
        <f t="shared" si="4"/>
        <v>952.58045130175401</v>
      </c>
      <c r="E47" s="16">
        <f t="shared" si="5"/>
        <v>2426.4732955465815</v>
      </c>
      <c r="F47" s="13">
        <f>F38*$D$28*'BCA Values'!$H$21</f>
        <v>0</v>
      </c>
      <c r="G47" s="13">
        <f>G38*$D$28*'BCA Values'!$H$21</f>
        <v>-18.156853961046981</v>
      </c>
      <c r="H47" s="13">
        <f>H38*$D$28*'BCA Values'!$H$21</f>
        <v>-79.513985261466189</v>
      </c>
      <c r="I47" s="13">
        <f>I38*$D$28*'BCA Values'!$H$21</f>
        <v>-81.001824567793719</v>
      </c>
      <c r="J47" s="13">
        <f>J38*$D$28*'BCA Values'!$H$21</f>
        <v>-81.001824567793719</v>
      </c>
      <c r="K47" s="13">
        <f>K38*$D$28*'BCA Values'!$H$21</f>
        <v>-81.001824567793719</v>
      </c>
      <c r="L47" s="13">
        <f>L38*$D$28*'BCA Values'!$H$21</f>
        <v>-81.001824567793719</v>
      </c>
      <c r="M47" s="13">
        <f>M38*$D$28*'BCA Values'!$H$21</f>
        <v>-81.001824567793719</v>
      </c>
      <c r="N47" s="13">
        <f>N38*$D$28*'BCA Values'!$H$21</f>
        <v>-81.001824567793719</v>
      </c>
      <c r="O47" s="13">
        <f>O38*$D$28*'BCA Values'!$H$21</f>
        <v>-81.001824567793719</v>
      </c>
      <c r="P47" s="13">
        <f>P38*$D$28*'BCA Values'!$H$21</f>
        <v>-81.001824567793719</v>
      </c>
      <c r="Q47" s="13">
        <f>Q38*$D$28*'BCA Values'!$H$21</f>
        <v>-81.001824567793719</v>
      </c>
      <c r="R47" s="13">
        <f>R38*$D$28*'BCA Values'!$H$21</f>
        <v>-81.001824567793719</v>
      </c>
      <c r="S47" s="13">
        <f>S38*$D$28*'BCA Values'!$H$21</f>
        <v>-81.001824567793719</v>
      </c>
      <c r="T47" s="13">
        <f>T38*$D$28*'BCA Values'!$H$21</f>
        <v>-81.001824567793719</v>
      </c>
      <c r="U47" s="13">
        <f>U38*$D$28*'BCA Values'!$H$21</f>
        <v>-81.001824567793719</v>
      </c>
      <c r="V47" s="13">
        <f>V38*$D$28*'BCA Values'!$H$21</f>
        <v>-81.001824567793719</v>
      </c>
      <c r="W47" s="13">
        <f>W38*$D$28*'BCA Values'!$H$21</f>
        <v>-81.001824567793719</v>
      </c>
      <c r="X47" s="13">
        <f>X38*$D$28*'BCA Values'!$H$21</f>
        <v>-81.001824567793719</v>
      </c>
      <c r="Y47" s="13">
        <f>Y38*$D$28*'BCA Values'!$H$21</f>
        <v>-81.001824567793719</v>
      </c>
      <c r="Z47" s="13">
        <f>Z38*$D$28*'BCA Values'!$H$21</f>
        <v>-81.001824567793719</v>
      </c>
      <c r="AA47" s="13">
        <f>AA38*$D$28*'BCA Values'!$H$21</f>
        <v>-81.001824567793719</v>
      </c>
      <c r="AB47" s="13">
        <f>AB38*$D$28*'BCA Values'!$H$21</f>
        <v>-81.001824567793719</v>
      </c>
      <c r="AC47" s="13">
        <f>AC38*$D$28*'BCA Values'!$H$21</f>
        <v>-81.001824567793719</v>
      </c>
      <c r="AD47" s="13">
        <f>AD38*$D$28*'BCA Values'!$H$21</f>
        <v>-81.001824567793719</v>
      </c>
      <c r="AE47" s="13">
        <f>AE38*$D$28*'BCA Values'!$H$21</f>
        <v>-81.001824567793719</v>
      </c>
      <c r="AF47" s="13">
        <f>AF38*$D$28*'BCA Values'!$H$21</f>
        <v>-81.001824567793719</v>
      </c>
      <c r="AG47" s="13">
        <f>AG38*$D$28*'BCA Values'!$H$21</f>
        <v>-81.001824567793719</v>
      </c>
      <c r="AH47" s="13">
        <f>AH38*$D$28*'BCA Values'!$H$21</f>
        <v>-81.001824567793719</v>
      </c>
      <c r="AI47" s="13">
        <f>AI38*$D$28*'BCA Values'!$H$21</f>
        <v>-81.001824567793719</v>
      </c>
      <c r="AJ47" s="13">
        <f>AJ38*$D$28*'BCA Values'!$H$21</f>
        <v>-81.001824567793719</v>
      </c>
      <c r="AK47" s="13">
        <f>AK38*$D$28*'BCA Values'!$H$21</f>
        <v>-60.751368425845293</v>
      </c>
    </row>
    <row r="48" spans="1:41" x14ac:dyDescent="0.25">
      <c r="A48" s="12"/>
      <c r="B48" s="12"/>
      <c r="C48" s="56"/>
      <c r="D48" s="56"/>
      <c r="E48" s="56"/>
      <c r="F48" s="57"/>
      <c r="G48" s="57"/>
      <c r="H48" s="57"/>
      <c r="I48" s="57"/>
      <c r="J48" s="57"/>
      <c r="K48" s="57"/>
      <c r="L48" s="57"/>
      <c r="M48" s="57"/>
      <c r="N48" s="57"/>
      <c r="O48" s="57"/>
      <c r="P48" s="57"/>
      <c r="Q48" s="57"/>
      <c r="R48" s="57"/>
      <c r="S48" s="57"/>
      <c r="T48" s="57"/>
      <c r="U48" s="57"/>
      <c r="V48" s="57"/>
      <c r="W48" s="57"/>
      <c r="X48" s="57"/>
      <c r="Y48" s="57"/>
      <c r="Z48" s="57"/>
      <c r="AA48" s="57"/>
      <c r="AB48" s="57"/>
      <c r="AC48" s="57"/>
      <c r="AD48" s="57"/>
      <c r="AE48" s="57"/>
      <c r="AF48" s="57"/>
      <c r="AG48" s="57"/>
      <c r="AH48" s="57"/>
      <c r="AI48" s="57"/>
      <c r="AJ48" s="57"/>
      <c r="AK48" s="57"/>
    </row>
    <row r="49" spans="1:37" x14ac:dyDescent="0.25">
      <c r="A49" s="12"/>
      <c r="B49" s="12"/>
      <c r="C49" s="56"/>
      <c r="D49" s="56" t="s">
        <v>91</v>
      </c>
      <c r="E49" s="99">
        <f>-SUM(G49:AK49)</f>
        <v>0.24702880529354901</v>
      </c>
      <c r="F49" s="46">
        <f>F$38*$C$20</f>
        <v>0</v>
      </c>
      <c r="G49" s="46">
        <f t="shared" ref="G49:AK49" si="15">G$38*$C$20</f>
        <v>-1.8484711742424251E-3</v>
      </c>
      <c r="H49" s="46">
        <f t="shared" si="15"/>
        <v>-8.094976696969701E-3</v>
      </c>
      <c r="I49" s="46">
        <f t="shared" si="15"/>
        <v>-8.2464472146899781E-3</v>
      </c>
      <c r="J49" s="46">
        <f t="shared" si="15"/>
        <v>-8.2464472146899781E-3</v>
      </c>
      <c r="K49" s="46">
        <f t="shared" si="15"/>
        <v>-8.2464472146899781E-3</v>
      </c>
      <c r="L49" s="46">
        <f t="shared" si="15"/>
        <v>-8.2464472146899781E-3</v>
      </c>
      <c r="M49" s="46">
        <f t="shared" si="15"/>
        <v>-8.2464472146899781E-3</v>
      </c>
      <c r="N49" s="46">
        <f t="shared" si="15"/>
        <v>-8.2464472146899781E-3</v>
      </c>
      <c r="O49" s="46">
        <f t="shared" si="15"/>
        <v>-8.2464472146899781E-3</v>
      </c>
      <c r="P49" s="46">
        <f t="shared" si="15"/>
        <v>-8.2464472146899781E-3</v>
      </c>
      <c r="Q49" s="46">
        <f t="shared" si="15"/>
        <v>-8.2464472146899781E-3</v>
      </c>
      <c r="R49" s="46">
        <f t="shared" si="15"/>
        <v>-8.2464472146899781E-3</v>
      </c>
      <c r="S49" s="46">
        <f t="shared" si="15"/>
        <v>-8.2464472146899781E-3</v>
      </c>
      <c r="T49" s="46">
        <f t="shared" si="15"/>
        <v>-8.2464472146899781E-3</v>
      </c>
      <c r="U49" s="46">
        <f t="shared" si="15"/>
        <v>-8.2464472146899781E-3</v>
      </c>
      <c r="V49" s="46">
        <f t="shared" si="15"/>
        <v>-8.2464472146899781E-3</v>
      </c>
      <c r="W49" s="46">
        <f t="shared" si="15"/>
        <v>-8.2464472146899781E-3</v>
      </c>
      <c r="X49" s="46">
        <f t="shared" si="15"/>
        <v>-8.2464472146899781E-3</v>
      </c>
      <c r="Y49" s="46">
        <f t="shared" si="15"/>
        <v>-8.2464472146899781E-3</v>
      </c>
      <c r="Z49" s="46">
        <f t="shared" si="15"/>
        <v>-8.2464472146899781E-3</v>
      </c>
      <c r="AA49" s="46">
        <f t="shared" si="15"/>
        <v>-8.2464472146899781E-3</v>
      </c>
      <c r="AB49" s="46">
        <f t="shared" si="15"/>
        <v>-8.2464472146899781E-3</v>
      </c>
      <c r="AC49" s="46">
        <f t="shared" si="15"/>
        <v>-8.2464472146899781E-3</v>
      </c>
      <c r="AD49" s="46">
        <f t="shared" si="15"/>
        <v>-8.2464472146899781E-3</v>
      </c>
      <c r="AE49" s="46">
        <f t="shared" si="15"/>
        <v>-8.2464472146899781E-3</v>
      </c>
      <c r="AF49" s="46">
        <f t="shared" si="15"/>
        <v>-8.2464472146899781E-3</v>
      </c>
      <c r="AG49" s="46">
        <f t="shared" si="15"/>
        <v>-8.2464472146899781E-3</v>
      </c>
      <c r="AH49" s="46">
        <f t="shared" si="15"/>
        <v>-8.2464472146899781E-3</v>
      </c>
      <c r="AI49" s="46">
        <f t="shared" si="15"/>
        <v>-8.2464472146899781E-3</v>
      </c>
      <c r="AJ49" s="46">
        <f t="shared" si="15"/>
        <v>-8.2464472146899781E-3</v>
      </c>
      <c r="AK49" s="46">
        <f t="shared" si="15"/>
        <v>-6.1848354110174844E-3</v>
      </c>
    </row>
    <row r="50" spans="1:37" x14ac:dyDescent="0.25">
      <c r="A50" s="12"/>
      <c r="B50" s="12"/>
      <c r="C50" s="56"/>
      <c r="D50" s="56" t="s">
        <v>92</v>
      </c>
      <c r="E50" s="99">
        <f>-SUM(G50:AK50)</f>
        <v>0</v>
      </c>
      <c r="F50" s="46">
        <f>F$38*$C$21</f>
        <v>0</v>
      </c>
      <c r="G50" s="46">
        <f t="shared" ref="G50:AK50" si="16">G$38*$C$21</f>
        <v>0</v>
      </c>
      <c r="H50" s="46">
        <f t="shared" si="16"/>
        <v>0</v>
      </c>
      <c r="I50" s="46">
        <f t="shared" si="16"/>
        <v>0</v>
      </c>
      <c r="J50" s="46">
        <f t="shared" si="16"/>
        <v>0</v>
      </c>
      <c r="K50" s="46">
        <f t="shared" si="16"/>
        <v>0</v>
      </c>
      <c r="L50" s="46">
        <f t="shared" si="16"/>
        <v>0</v>
      </c>
      <c r="M50" s="46">
        <f t="shared" si="16"/>
        <v>0</v>
      </c>
      <c r="N50" s="46">
        <f t="shared" si="16"/>
        <v>0</v>
      </c>
      <c r="O50" s="46">
        <f t="shared" si="16"/>
        <v>0</v>
      </c>
      <c r="P50" s="46">
        <f t="shared" si="16"/>
        <v>0</v>
      </c>
      <c r="Q50" s="46">
        <f t="shared" si="16"/>
        <v>0</v>
      </c>
      <c r="R50" s="46">
        <f t="shared" si="16"/>
        <v>0</v>
      </c>
      <c r="S50" s="46">
        <f t="shared" si="16"/>
        <v>0</v>
      </c>
      <c r="T50" s="46">
        <f t="shared" si="16"/>
        <v>0</v>
      </c>
      <c r="U50" s="46">
        <f t="shared" si="16"/>
        <v>0</v>
      </c>
      <c r="V50" s="46">
        <f t="shared" si="16"/>
        <v>0</v>
      </c>
      <c r="W50" s="46">
        <f t="shared" si="16"/>
        <v>0</v>
      </c>
      <c r="X50" s="46">
        <f t="shared" si="16"/>
        <v>0</v>
      </c>
      <c r="Y50" s="46">
        <f t="shared" si="16"/>
        <v>0</v>
      </c>
      <c r="Z50" s="46">
        <f t="shared" si="16"/>
        <v>0</v>
      </c>
      <c r="AA50" s="46">
        <f t="shared" si="16"/>
        <v>0</v>
      </c>
      <c r="AB50" s="46">
        <f t="shared" si="16"/>
        <v>0</v>
      </c>
      <c r="AC50" s="46">
        <f t="shared" si="16"/>
        <v>0</v>
      </c>
      <c r="AD50" s="46">
        <f t="shared" si="16"/>
        <v>0</v>
      </c>
      <c r="AE50" s="46">
        <f t="shared" si="16"/>
        <v>0</v>
      </c>
      <c r="AF50" s="46">
        <f t="shared" si="16"/>
        <v>0</v>
      </c>
      <c r="AG50" s="46">
        <f t="shared" si="16"/>
        <v>0</v>
      </c>
      <c r="AH50" s="46">
        <f t="shared" si="16"/>
        <v>0</v>
      </c>
      <c r="AI50" s="46">
        <f t="shared" si="16"/>
        <v>0</v>
      </c>
      <c r="AJ50" s="46">
        <f t="shared" si="16"/>
        <v>0</v>
      </c>
      <c r="AK50" s="46">
        <f t="shared" si="16"/>
        <v>0</v>
      </c>
    </row>
    <row r="51" spans="1:37" x14ac:dyDescent="0.25">
      <c r="D51" t="s">
        <v>93</v>
      </c>
      <c r="E51" s="99">
        <f>-SUM(G51:AK51)</f>
        <v>145.48052090174016</v>
      </c>
      <c r="F51" s="46">
        <f>F$38*$C$22</f>
        <v>0</v>
      </c>
      <c r="G51" s="46">
        <f t="shared" ref="G51:AK51" si="17">G$38*$C$22</f>
        <v>-1.0886040151515155</v>
      </c>
      <c r="H51" s="46">
        <f t="shared" si="17"/>
        <v>-4.7673040606060626</v>
      </c>
      <c r="I51" s="46">
        <f t="shared" si="17"/>
        <v>-4.8565082722080923</v>
      </c>
      <c r="J51" s="46">
        <f t="shared" si="17"/>
        <v>-4.8565082722080923</v>
      </c>
      <c r="K51" s="46">
        <f t="shared" si="17"/>
        <v>-4.8565082722080923</v>
      </c>
      <c r="L51" s="46">
        <f t="shared" si="17"/>
        <v>-4.8565082722080923</v>
      </c>
      <c r="M51" s="46">
        <f t="shared" si="17"/>
        <v>-4.8565082722080923</v>
      </c>
      <c r="N51" s="46">
        <f t="shared" si="17"/>
        <v>-4.8565082722080923</v>
      </c>
      <c r="O51" s="46">
        <f t="shared" si="17"/>
        <v>-4.8565082722080923</v>
      </c>
      <c r="P51" s="46">
        <f t="shared" si="17"/>
        <v>-4.8565082722080923</v>
      </c>
      <c r="Q51" s="46">
        <f t="shared" si="17"/>
        <v>-4.8565082722080923</v>
      </c>
      <c r="R51" s="46">
        <f t="shared" si="17"/>
        <v>-4.8565082722080923</v>
      </c>
      <c r="S51" s="46">
        <f t="shared" si="17"/>
        <v>-4.8565082722080923</v>
      </c>
      <c r="T51" s="46">
        <f t="shared" si="17"/>
        <v>-4.8565082722080923</v>
      </c>
      <c r="U51" s="46">
        <f t="shared" si="17"/>
        <v>-4.8565082722080923</v>
      </c>
      <c r="V51" s="46">
        <f t="shared" si="17"/>
        <v>-4.8565082722080923</v>
      </c>
      <c r="W51" s="46">
        <f t="shared" si="17"/>
        <v>-4.8565082722080923</v>
      </c>
      <c r="X51" s="46">
        <f t="shared" si="17"/>
        <v>-4.8565082722080923</v>
      </c>
      <c r="Y51" s="46">
        <f t="shared" si="17"/>
        <v>-4.8565082722080923</v>
      </c>
      <c r="Z51" s="46">
        <f t="shared" si="17"/>
        <v>-4.8565082722080923</v>
      </c>
      <c r="AA51" s="46">
        <f t="shared" si="17"/>
        <v>-4.8565082722080923</v>
      </c>
      <c r="AB51" s="46">
        <f t="shared" si="17"/>
        <v>-4.8565082722080923</v>
      </c>
      <c r="AC51" s="46">
        <f t="shared" si="17"/>
        <v>-4.8565082722080923</v>
      </c>
      <c r="AD51" s="46">
        <f t="shared" si="17"/>
        <v>-4.8565082722080923</v>
      </c>
      <c r="AE51" s="46">
        <f t="shared" si="17"/>
        <v>-4.8565082722080923</v>
      </c>
      <c r="AF51" s="46">
        <f t="shared" si="17"/>
        <v>-4.8565082722080923</v>
      </c>
      <c r="AG51" s="46">
        <f t="shared" si="17"/>
        <v>-4.8565082722080923</v>
      </c>
      <c r="AH51" s="46">
        <f t="shared" si="17"/>
        <v>-4.8565082722080923</v>
      </c>
      <c r="AI51" s="46">
        <f t="shared" si="17"/>
        <v>-4.8565082722080923</v>
      </c>
      <c r="AJ51" s="46">
        <f t="shared" si="17"/>
        <v>-4.8565082722080923</v>
      </c>
      <c r="AK51" s="46">
        <f t="shared" si="17"/>
        <v>-3.6423812041560693</v>
      </c>
    </row>
    <row r="52" spans="1:37" x14ac:dyDescent="0.25">
      <c r="D52" t="s">
        <v>94</v>
      </c>
      <c r="E52" s="99">
        <f>-SUM(G52:AK52)</f>
        <v>7.2020059852346665E-3</v>
      </c>
      <c r="F52" s="46">
        <f>F$38*$C$23</f>
        <v>0</v>
      </c>
      <c r="G52" s="46">
        <f t="shared" ref="G52:AK52" si="18">G$38*$C$23</f>
        <v>-5.3891287878787902E-5</v>
      </c>
      <c r="H52" s="46">
        <f t="shared" si="18"/>
        <v>-2.360051515151516E-4</v>
      </c>
      <c r="I52" s="46">
        <f t="shared" si="18"/>
        <v>-2.4042120159446001E-4</v>
      </c>
      <c r="J52" s="46">
        <f t="shared" si="18"/>
        <v>-2.4042120159446001E-4</v>
      </c>
      <c r="K52" s="46">
        <f t="shared" si="18"/>
        <v>-2.4042120159446001E-4</v>
      </c>
      <c r="L52" s="46">
        <f t="shared" si="18"/>
        <v>-2.4042120159446001E-4</v>
      </c>
      <c r="M52" s="46">
        <f t="shared" si="18"/>
        <v>-2.4042120159446001E-4</v>
      </c>
      <c r="N52" s="46">
        <f t="shared" si="18"/>
        <v>-2.4042120159446001E-4</v>
      </c>
      <c r="O52" s="46">
        <f t="shared" si="18"/>
        <v>-2.4042120159446001E-4</v>
      </c>
      <c r="P52" s="46">
        <f t="shared" si="18"/>
        <v>-2.4042120159446001E-4</v>
      </c>
      <c r="Q52" s="46">
        <f t="shared" si="18"/>
        <v>-2.4042120159446001E-4</v>
      </c>
      <c r="R52" s="46">
        <f t="shared" si="18"/>
        <v>-2.4042120159446001E-4</v>
      </c>
      <c r="S52" s="46">
        <f t="shared" si="18"/>
        <v>-2.4042120159446001E-4</v>
      </c>
      <c r="T52" s="46">
        <f t="shared" si="18"/>
        <v>-2.4042120159446001E-4</v>
      </c>
      <c r="U52" s="46">
        <f t="shared" si="18"/>
        <v>-2.4042120159446001E-4</v>
      </c>
      <c r="V52" s="46">
        <f t="shared" si="18"/>
        <v>-2.4042120159446001E-4</v>
      </c>
      <c r="W52" s="46">
        <f t="shared" si="18"/>
        <v>-2.4042120159446001E-4</v>
      </c>
      <c r="X52" s="46">
        <f t="shared" si="18"/>
        <v>-2.4042120159446001E-4</v>
      </c>
      <c r="Y52" s="46">
        <f t="shared" si="18"/>
        <v>-2.4042120159446001E-4</v>
      </c>
      <c r="Z52" s="46">
        <f t="shared" si="18"/>
        <v>-2.4042120159446001E-4</v>
      </c>
      <c r="AA52" s="46">
        <f t="shared" si="18"/>
        <v>-2.4042120159446001E-4</v>
      </c>
      <c r="AB52" s="46">
        <f t="shared" si="18"/>
        <v>-2.4042120159446001E-4</v>
      </c>
      <c r="AC52" s="46">
        <f t="shared" si="18"/>
        <v>-2.4042120159446001E-4</v>
      </c>
      <c r="AD52" s="46">
        <f t="shared" si="18"/>
        <v>-2.4042120159446001E-4</v>
      </c>
      <c r="AE52" s="46">
        <f t="shared" si="18"/>
        <v>-2.4042120159446001E-4</v>
      </c>
      <c r="AF52" s="46">
        <f t="shared" si="18"/>
        <v>-2.4042120159446001E-4</v>
      </c>
      <c r="AG52" s="46">
        <f t="shared" si="18"/>
        <v>-2.4042120159446001E-4</v>
      </c>
      <c r="AH52" s="46">
        <f t="shared" si="18"/>
        <v>-2.4042120159446001E-4</v>
      </c>
      <c r="AI52" s="46">
        <f t="shared" si="18"/>
        <v>-2.4042120159446001E-4</v>
      </c>
      <c r="AJ52" s="46">
        <f t="shared" si="18"/>
        <v>-2.4042120159446001E-4</v>
      </c>
      <c r="AK52" s="46">
        <f t="shared" si="18"/>
        <v>-1.8031590119584501E-4</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8DD0F3-EA8B-4E13-8DCB-91207905017F}">
  <sheetPr>
    <tabColor theme="7" tint="0.79998168889431442"/>
  </sheetPr>
  <dimension ref="A1:AN76"/>
  <sheetViews>
    <sheetView topLeftCell="D38" zoomScale="90" zoomScaleNormal="90" workbookViewId="0">
      <selection activeCell="E49" sqref="E49"/>
    </sheetView>
  </sheetViews>
  <sheetFormatPr defaultRowHeight="15" x14ac:dyDescent="0.25"/>
  <cols>
    <col min="1" max="1" width="64.42578125" customWidth="1"/>
    <col min="2" max="2" width="28.5703125" customWidth="1"/>
    <col min="3" max="3" width="36.42578125" customWidth="1"/>
    <col min="4" max="4" width="22" bestFit="1" customWidth="1"/>
    <col min="5" max="5" width="21" bestFit="1" customWidth="1"/>
    <col min="6" max="6" width="12.7109375" bestFit="1" customWidth="1"/>
    <col min="7" max="7" width="25.7109375" customWidth="1"/>
    <col min="8" max="8" width="13" customWidth="1"/>
    <col min="9" max="9" width="12.7109375" bestFit="1" customWidth="1"/>
    <col min="10" max="10" width="12.28515625" customWidth="1"/>
    <col min="11" max="11" width="13.7109375" bestFit="1" customWidth="1"/>
    <col min="12" max="13" width="14.28515625" bestFit="1" customWidth="1"/>
    <col min="14" max="17" width="15.28515625" bestFit="1" customWidth="1"/>
    <col min="18" max="39" width="13.7109375" bestFit="1" customWidth="1"/>
    <col min="40" max="40" width="13.42578125" bestFit="1" customWidth="1"/>
  </cols>
  <sheetData>
    <row r="1" spans="1:7" x14ac:dyDescent="0.25">
      <c r="A1" t="s">
        <v>168</v>
      </c>
    </row>
    <row r="3" spans="1:7" x14ac:dyDescent="0.25">
      <c r="A3" s="12" t="s">
        <v>169</v>
      </c>
      <c r="B3" t="s">
        <v>170</v>
      </c>
    </row>
    <row r="4" spans="1:7" x14ac:dyDescent="0.25">
      <c r="A4" t="s">
        <v>171</v>
      </c>
      <c r="B4" t="s">
        <v>172</v>
      </c>
    </row>
    <row r="6" spans="1:7" x14ac:dyDescent="0.25">
      <c r="A6" s="12" t="s">
        <v>87</v>
      </c>
    </row>
    <row r="7" spans="1:7" x14ac:dyDescent="0.25">
      <c r="A7" t="s">
        <v>6</v>
      </c>
      <c r="B7" t="s">
        <v>133</v>
      </c>
      <c r="C7" t="s">
        <v>134</v>
      </c>
    </row>
    <row r="8" spans="1:7" x14ac:dyDescent="0.25">
      <c r="A8" t="s">
        <v>135</v>
      </c>
      <c r="B8">
        <f>AVERAGE(25.3,18.2)</f>
        <v>21.75</v>
      </c>
      <c r="C8" s="20">
        <v>3.145</v>
      </c>
      <c r="D8" s="19"/>
      <c r="F8" s="20"/>
    </row>
    <row r="10" spans="1:7" x14ac:dyDescent="0.25">
      <c r="A10" t="s">
        <v>136</v>
      </c>
    </row>
    <row r="11" spans="1:7" x14ac:dyDescent="0.25">
      <c r="A11" t="s">
        <v>137</v>
      </c>
    </row>
    <row r="12" spans="1:7" x14ac:dyDescent="0.25">
      <c r="A12" t="s">
        <v>138</v>
      </c>
    </row>
    <row r="14" spans="1:7" x14ac:dyDescent="0.25">
      <c r="A14" s="12" t="s">
        <v>139</v>
      </c>
    </row>
    <row r="15" spans="1:7" s="6" customFormat="1" ht="49.35" customHeight="1" x14ac:dyDescent="0.25">
      <c r="A15" s="6" t="s">
        <v>6</v>
      </c>
      <c r="B15" s="6" t="s">
        <v>140</v>
      </c>
      <c r="C15" s="6" t="s">
        <v>141</v>
      </c>
    </row>
    <row r="16" spans="1:7" x14ac:dyDescent="0.25">
      <c r="A16" t="s">
        <v>135</v>
      </c>
      <c r="B16" s="13">
        <f>'BCA Values'!K25</f>
        <v>0.46</v>
      </c>
      <c r="C16" s="13">
        <f>'BCA Values'!K26</f>
        <v>1.01</v>
      </c>
      <c r="E16" s="16"/>
      <c r="F16" s="16"/>
      <c r="G16" s="16"/>
    </row>
    <row r="18" spans="1:6" x14ac:dyDescent="0.25">
      <c r="A18" t="s">
        <v>142</v>
      </c>
      <c r="B18" s="11"/>
    </row>
    <row r="19" spans="1:6" x14ac:dyDescent="0.25">
      <c r="A19" t="s">
        <v>143</v>
      </c>
    </row>
    <row r="21" spans="1:6" x14ac:dyDescent="0.25">
      <c r="A21" s="12" t="s">
        <v>151</v>
      </c>
      <c r="B21" t="s">
        <v>152</v>
      </c>
      <c r="C21" t="s">
        <v>153</v>
      </c>
      <c r="D21" t="s">
        <v>154</v>
      </c>
    </row>
    <row r="22" spans="1:6" x14ac:dyDescent="0.25">
      <c r="A22" s="6" t="s">
        <v>6</v>
      </c>
      <c r="B22">
        <f>'Crash stats'!$R$9/100000000</f>
        <v>8.5799999999999998E-7</v>
      </c>
      <c r="C22" s="51">
        <f>'Crash stats'!$C$15/100000000</f>
        <v>1.1681818181818181E-8</v>
      </c>
      <c r="D22" s="51">
        <f>'Crash stats'!AC16/1000000</f>
        <v>1.4038179666663155E-6</v>
      </c>
    </row>
    <row r="23" spans="1:6" x14ac:dyDescent="0.25">
      <c r="A23" t="s">
        <v>135</v>
      </c>
      <c r="B23" t="s">
        <v>155</v>
      </c>
    </row>
    <row r="25" spans="1:6" x14ac:dyDescent="0.25">
      <c r="A25" s="12" t="s">
        <v>144</v>
      </c>
    </row>
    <row r="26" spans="1:6" x14ac:dyDescent="0.25">
      <c r="A26" t="s">
        <v>145</v>
      </c>
      <c r="B26" t="s">
        <v>146</v>
      </c>
      <c r="C26" t="s">
        <v>147</v>
      </c>
      <c r="D26" t="s">
        <v>173</v>
      </c>
      <c r="E26" t="s">
        <v>174</v>
      </c>
      <c r="F26" t="s">
        <v>147</v>
      </c>
    </row>
    <row r="27" spans="1:6" ht="16.5" x14ac:dyDescent="0.3">
      <c r="A27" t="s">
        <v>91</v>
      </c>
      <c r="B27" s="52">
        <v>0.68600000000000005</v>
      </c>
      <c r="C27">
        <f>B27/1000000</f>
        <v>6.8600000000000008E-7</v>
      </c>
      <c r="D27" s="16">
        <f>'BCA Values'!B6</f>
        <v>16600</v>
      </c>
      <c r="E27" s="17"/>
    </row>
    <row r="28" spans="1:6" x14ac:dyDescent="0.25">
      <c r="A28" s="6" t="s">
        <v>92</v>
      </c>
      <c r="B28" t="s">
        <v>175</v>
      </c>
      <c r="C28">
        <v>0</v>
      </c>
      <c r="D28" s="16">
        <f>'BCA Values'!C6</f>
        <v>44300</v>
      </c>
    </row>
    <row r="29" spans="1:6" x14ac:dyDescent="0.25">
      <c r="A29" t="s">
        <v>93</v>
      </c>
      <c r="B29">
        <v>404</v>
      </c>
      <c r="C29">
        <f t="shared" ref="C29:C30" si="0">B29/1000000</f>
        <v>4.0400000000000001E-4</v>
      </c>
      <c r="D29" s="16">
        <f>'BCA Values'!E6</f>
        <v>56</v>
      </c>
    </row>
    <row r="30" spans="1:6" x14ac:dyDescent="0.25">
      <c r="A30" t="s">
        <v>94</v>
      </c>
      <c r="B30">
        <v>0.02</v>
      </c>
      <c r="C30">
        <f t="shared" si="0"/>
        <v>2E-8</v>
      </c>
      <c r="D30" s="16">
        <f>'BCA Values'!D6</f>
        <v>796700</v>
      </c>
    </row>
    <row r="31" spans="1:6" x14ac:dyDescent="0.25">
      <c r="B31" t="s">
        <v>149</v>
      </c>
    </row>
    <row r="32" spans="1:6" x14ac:dyDescent="0.25">
      <c r="A32" s="6"/>
      <c r="B32" t="s">
        <v>150</v>
      </c>
    </row>
    <row r="33" spans="1:40" x14ac:dyDescent="0.25">
      <c r="A33" s="100"/>
      <c r="B33" s="25"/>
      <c r="C33" s="25"/>
      <c r="D33" s="25"/>
      <c r="E33" s="25"/>
      <c r="F33" s="25"/>
      <c r="G33" s="25"/>
    </row>
    <row r="34" spans="1:40" x14ac:dyDescent="0.25">
      <c r="A34" s="101" t="s">
        <v>176</v>
      </c>
      <c r="B34" s="25"/>
      <c r="C34" s="25"/>
      <c r="D34" s="25"/>
      <c r="E34" s="25"/>
      <c r="F34" s="25"/>
      <c r="G34" s="25"/>
    </row>
    <row r="35" spans="1:40" x14ac:dyDescent="0.25">
      <c r="A35" s="100" t="s">
        <v>177</v>
      </c>
      <c r="B35" s="25" t="s">
        <v>178</v>
      </c>
      <c r="C35" s="25" t="s">
        <v>179</v>
      </c>
      <c r="D35" s="25"/>
      <c r="E35" s="25"/>
      <c r="F35" s="25"/>
      <c r="G35" s="25"/>
    </row>
    <row r="36" spans="1:40" x14ac:dyDescent="0.25">
      <c r="A36" s="100" t="s">
        <v>180</v>
      </c>
      <c r="B36" s="102">
        <v>42</v>
      </c>
      <c r="C36" s="25" t="s">
        <v>181</v>
      </c>
      <c r="D36" s="25"/>
      <c r="E36" s="25"/>
      <c r="F36" s="25"/>
      <c r="G36" s="25"/>
    </row>
    <row r="37" spans="1:40" x14ac:dyDescent="0.25">
      <c r="A37" s="100" t="s">
        <v>182</v>
      </c>
      <c r="B37" s="103">
        <v>0.47699999999999998</v>
      </c>
      <c r="C37" s="25" t="s">
        <v>181</v>
      </c>
      <c r="D37" s="25"/>
      <c r="E37" s="25"/>
      <c r="F37" s="25"/>
      <c r="G37" s="25"/>
    </row>
    <row r="38" spans="1:40" ht="30" x14ac:dyDescent="0.25">
      <c r="A38" s="100" t="s">
        <v>183</v>
      </c>
      <c r="B38" s="103">
        <f>-0.16/8.47</f>
        <v>-1.8890200708382526E-2</v>
      </c>
      <c r="C38" s="25" t="s">
        <v>184</v>
      </c>
      <c r="D38" s="25"/>
      <c r="E38" s="25"/>
      <c r="F38" s="25"/>
      <c r="G38" s="25"/>
    </row>
    <row r="39" spans="1:40" x14ac:dyDescent="0.25">
      <c r="A39" s="25" t="s">
        <v>185</v>
      </c>
      <c r="B39" s="25">
        <v>0.28699999999999998</v>
      </c>
      <c r="C39" s="25" t="s">
        <v>181</v>
      </c>
      <c r="D39" s="25"/>
      <c r="E39" s="25"/>
      <c r="F39" s="25"/>
      <c r="G39" s="25"/>
    </row>
    <row r="40" spans="1:40" x14ac:dyDescent="0.25">
      <c r="A40" s="25"/>
      <c r="B40" s="25"/>
      <c r="C40" s="25"/>
      <c r="D40" s="25"/>
      <c r="E40" s="25"/>
      <c r="F40" s="25"/>
      <c r="G40" s="25"/>
    </row>
    <row r="41" spans="1:40" x14ac:dyDescent="0.25">
      <c r="A41" s="12" t="s">
        <v>186</v>
      </c>
    </row>
    <row r="42" spans="1:40" x14ac:dyDescent="0.25">
      <c r="A42" t="s">
        <v>187</v>
      </c>
      <c r="B42">
        <v>0.04</v>
      </c>
      <c r="C42" s="15" t="s">
        <v>188</v>
      </c>
    </row>
    <row r="43" spans="1:40" x14ac:dyDescent="0.25">
      <c r="A43" t="s">
        <v>189</v>
      </c>
      <c r="B43">
        <v>0.06</v>
      </c>
    </row>
    <row r="47" spans="1:40" x14ac:dyDescent="0.25">
      <c r="C47" s="22">
        <v>0.03</v>
      </c>
      <c r="D47" s="22">
        <v>7.0000000000000007E-2</v>
      </c>
      <c r="J47">
        <v>1</v>
      </c>
      <c r="K47">
        <f>J47+1</f>
        <v>2</v>
      </c>
      <c r="L47">
        <f t="shared" ref="L47:AN47" si="1">K47+1</f>
        <v>3</v>
      </c>
      <c r="M47">
        <f t="shared" si="1"/>
        <v>4</v>
      </c>
      <c r="N47">
        <f t="shared" si="1"/>
        <v>5</v>
      </c>
      <c r="O47">
        <f t="shared" si="1"/>
        <v>6</v>
      </c>
      <c r="P47">
        <f t="shared" si="1"/>
        <v>7</v>
      </c>
      <c r="Q47">
        <f t="shared" si="1"/>
        <v>8</v>
      </c>
      <c r="R47">
        <f t="shared" si="1"/>
        <v>9</v>
      </c>
      <c r="S47">
        <f t="shared" si="1"/>
        <v>10</v>
      </c>
      <c r="T47">
        <f t="shared" si="1"/>
        <v>11</v>
      </c>
      <c r="U47">
        <f t="shared" si="1"/>
        <v>12</v>
      </c>
      <c r="V47">
        <f t="shared" si="1"/>
        <v>13</v>
      </c>
      <c r="W47">
        <f t="shared" si="1"/>
        <v>14</v>
      </c>
      <c r="X47">
        <f t="shared" si="1"/>
        <v>15</v>
      </c>
      <c r="Y47">
        <f t="shared" si="1"/>
        <v>16</v>
      </c>
      <c r="Z47">
        <f t="shared" si="1"/>
        <v>17</v>
      </c>
      <c r="AA47">
        <f t="shared" si="1"/>
        <v>18</v>
      </c>
      <c r="AB47">
        <f t="shared" si="1"/>
        <v>19</v>
      </c>
      <c r="AC47">
        <f t="shared" si="1"/>
        <v>20</v>
      </c>
      <c r="AD47">
        <f t="shared" si="1"/>
        <v>21</v>
      </c>
      <c r="AE47">
        <f t="shared" si="1"/>
        <v>22</v>
      </c>
      <c r="AF47">
        <f t="shared" si="1"/>
        <v>23</v>
      </c>
      <c r="AG47">
        <f t="shared" si="1"/>
        <v>24</v>
      </c>
      <c r="AH47">
        <f t="shared" si="1"/>
        <v>25</v>
      </c>
      <c r="AI47">
        <f t="shared" si="1"/>
        <v>26</v>
      </c>
      <c r="AJ47">
        <f t="shared" si="1"/>
        <v>27</v>
      </c>
      <c r="AK47">
        <f t="shared" si="1"/>
        <v>28</v>
      </c>
      <c r="AL47">
        <f t="shared" si="1"/>
        <v>29</v>
      </c>
      <c r="AM47">
        <f t="shared" si="1"/>
        <v>30</v>
      </c>
      <c r="AN47">
        <f t="shared" si="1"/>
        <v>31</v>
      </c>
    </row>
    <row r="48" spans="1:40" x14ac:dyDescent="0.25">
      <c r="A48" s="8" t="s">
        <v>103</v>
      </c>
      <c r="B48" s="8" t="s">
        <v>190</v>
      </c>
      <c r="C48" s="8" t="s">
        <v>105</v>
      </c>
      <c r="D48" s="8" t="s">
        <v>106</v>
      </c>
      <c r="E48" s="8" t="s">
        <v>57</v>
      </c>
      <c r="F48" s="8">
        <v>2022</v>
      </c>
      <c r="G48" s="8">
        <v>2023</v>
      </c>
      <c r="H48" s="8">
        <v>2024</v>
      </c>
      <c r="I48" s="8">
        <v>2025</v>
      </c>
      <c r="J48" s="8">
        <v>2026</v>
      </c>
      <c r="K48" s="8">
        <v>2027</v>
      </c>
      <c r="L48" s="8">
        <v>2028</v>
      </c>
      <c r="M48" s="8">
        <v>2029</v>
      </c>
      <c r="N48" s="8">
        <v>2030</v>
      </c>
      <c r="O48" s="8">
        <v>2031</v>
      </c>
      <c r="P48" s="8">
        <v>2032</v>
      </c>
      <c r="Q48" s="8">
        <v>2033</v>
      </c>
      <c r="R48" s="8">
        <v>2034</v>
      </c>
      <c r="S48" s="8">
        <v>2035</v>
      </c>
      <c r="T48" s="8">
        <v>2036</v>
      </c>
      <c r="U48" s="8">
        <v>2037</v>
      </c>
      <c r="V48" s="8">
        <v>2038</v>
      </c>
      <c r="W48" s="8">
        <v>2039</v>
      </c>
      <c r="X48" s="8">
        <v>2040</v>
      </c>
      <c r="Y48" s="8">
        <v>2041</v>
      </c>
      <c r="Z48" s="8">
        <v>2042</v>
      </c>
      <c r="AA48" s="8">
        <v>2043</v>
      </c>
      <c r="AB48" s="8">
        <v>2044</v>
      </c>
      <c r="AC48" s="8">
        <v>2045</v>
      </c>
      <c r="AD48" s="8">
        <v>2046</v>
      </c>
      <c r="AE48" s="8">
        <v>2047</v>
      </c>
      <c r="AF48" s="8">
        <v>2048</v>
      </c>
      <c r="AG48" s="8">
        <v>2049</v>
      </c>
      <c r="AH48" s="8">
        <v>2050</v>
      </c>
      <c r="AI48" s="8">
        <v>2051</v>
      </c>
      <c r="AJ48" s="8">
        <v>2052</v>
      </c>
      <c r="AK48" s="8">
        <v>2053</v>
      </c>
      <c r="AL48" s="8">
        <v>2054</v>
      </c>
      <c r="AM48" s="8">
        <v>2055</v>
      </c>
      <c r="AN48" s="8">
        <v>2056</v>
      </c>
    </row>
    <row r="49" spans="1:40" x14ac:dyDescent="0.25">
      <c r="A49" t="s">
        <v>191</v>
      </c>
      <c r="B49" s="47"/>
      <c r="C49" s="47"/>
      <c r="D49" s="47"/>
      <c r="E49" s="201">
        <f>AVERAGE(J49:AN49)</f>
        <v>2609134.4944017879</v>
      </c>
      <c r="F49">
        <v>0</v>
      </c>
      <c r="G49">
        <v>0</v>
      </c>
      <c r="H49">
        <v>0</v>
      </c>
      <c r="I49" s="46">
        <v>0</v>
      </c>
      <c r="J49" s="46">
        <f>'project benefits_PAMT_pubbridge'!D21</f>
        <v>0</v>
      </c>
      <c r="K49" s="46">
        <f>'project benefits_PAMT_pubbridge'!E21</f>
        <v>442791.07295504789</v>
      </c>
      <c r="L49" s="46">
        <f>'project benefits_PAMT_pubbridge'!F21</f>
        <v>1180776.1945467943</v>
      </c>
      <c r="M49" s="46">
        <f>'project benefits_PAMT_pubbridge'!G21</f>
        <v>1771164.2918201915</v>
      </c>
      <c r="N49" s="46">
        <f>'project benefits_PAMT_pubbridge'!H21</f>
        <v>2066358.3404568902</v>
      </c>
      <c r="O49" s="46">
        <f>'project benefits_PAMT_pubbridge'!I21</f>
        <v>2361552.3890935886</v>
      </c>
      <c r="P49" s="46">
        <f>'project benefits_PAMT_pubbridge'!J21</f>
        <v>2951940.4863669858</v>
      </c>
      <c r="Q49" s="46">
        <f>'project benefits_PAMT_pubbridge'!K21</f>
        <v>2951940.4863669858</v>
      </c>
      <c r="R49" s="46">
        <f>'project benefits_PAMT_pubbridge'!L21</f>
        <v>2951940.4863669858</v>
      </c>
      <c r="S49" s="46">
        <f>'project benefits_PAMT_pubbridge'!M21</f>
        <v>2951940.4863669858</v>
      </c>
      <c r="T49" s="46">
        <f>'project benefits_PAMT_pubbridge'!N21</f>
        <v>2951940.4863669858</v>
      </c>
      <c r="U49" s="46">
        <f>'project benefits_PAMT_pubbridge'!O21</f>
        <v>2951940.4863669858</v>
      </c>
      <c r="V49" s="46">
        <f>'project benefits_PAMT_pubbridge'!P21</f>
        <v>2951940.4863669858</v>
      </c>
      <c r="W49" s="46">
        <f>'project benefits_PAMT_pubbridge'!Q21</f>
        <v>2951940.4863669858</v>
      </c>
      <c r="X49" s="46">
        <f>'project benefits_PAMT_pubbridge'!R21</f>
        <v>2951940.4863669858</v>
      </c>
      <c r="Y49" s="46">
        <f>'project benefits_PAMT_pubbridge'!S21</f>
        <v>2951940.4863669858</v>
      </c>
      <c r="Z49" s="46">
        <f>'project benefits_PAMT_pubbridge'!T21</f>
        <v>2951940.4863669858</v>
      </c>
      <c r="AA49" s="46">
        <f>'project benefits_PAMT_pubbridge'!U21</f>
        <v>2951940.4863669858</v>
      </c>
      <c r="AB49" s="46">
        <f>'project benefits_PAMT_pubbridge'!V21</f>
        <v>2951940.4863669858</v>
      </c>
      <c r="AC49" s="46">
        <f>'project benefits_PAMT_pubbridge'!W21</f>
        <v>2951940.4863669858</v>
      </c>
      <c r="AD49" s="46">
        <f>'project benefits_PAMT_pubbridge'!X21</f>
        <v>2951940.4863669858</v>
      </c>
      <c r="AE49" s="46">
        <f>'project benefits_PAMT_pubbridge'!Y21</f>
        <v>2951940.4863669858</v>
      </c>
      <c r="AF49" s="46">
        <f>'project benefits_PAMT_pubbridge'!Z21</f>
        <v>2951940.4863669858</v>
      </c>
      <c r="AG49" s="46">
        <f>'project benefits_PAMT_pubbridge'!AA21</f>
        <v>2951940.4863669858</v>
      </c>
      <c r="AH49" s="46">
        <f>'project benefits_PAMT_pubbridge'!AB21</f>
        <v>2951940.4863669858</v>
      </c>
      <c r="AI49" s="46">
        <f>'project benefits_PAMT_pubbridge'!AC21</f>
        <v>2951940.4863669858</v>
      </c>
      <c r="AJ49" s="46">
        <f>'project benefits_PAMT_pubbridge'!AD21</f>
        <v>2951940.4863669858</v>
      </c>
      <c r="AK49" s="46">
        <f>'project benefits_PAMT_pubbridge'!AE21</f>
        <v>2951940.4863669858</v>
      </c>
      <c r="AL49" s="46">
        <f>'project benefits_PAMT_pubbridge'!AF21</f>
        <v>2951940.4863669858</v>
      </c>
      <c r="AM49" s="46">
        <f>'project benefits_PAMT_pubbridge'!AG21</f>
        <v>2951940.4863669858</v>
      </c>
      <c r="AN49" s="46">
        <f>AM49*0.75</f>
        <v>2213955.3647752395</v>
      </c>
    </row>
    <row r="50" spans="1:40" x14ac:dyDescent="0.25">
      <c r="A50" t="s">
        <v>160</v>
      </c>
      <c r="B50" s="47"/>
      <c r="C50" s="47"/>
      <c r="D50" s="47"/>
      <c r="E50" s="47"/>
      <c r="F50" s="9">
        <f>INDEX('BCA Values'!$B$6:$B$34,MATCH(F48, 'BCA Values'!$A$6:$A$34,0))</f>
        <v>16600</v>
      </c>
      <c r="G50" s="9">
        <f>INDEX('BCA Values'!$B$6:$B$34,MATCH(G48, 'BCA Values'!$A$6:$A$34,0))</f>
        <v>16800</v>
      </c>
      <c r="H50" s="9">
        <f>INDEX('BCA Values'!$B$6:$B$34,MATCH(H48, 'BCA Values'!$A$6:$A$34,0))</f>
        <v>17000</v>
      </c>
      <c r="I50" s="9">
        <f>INDEX('BCA Values'!$B$6:$B$34,MATCH(I48, 'BCA Values'!$A$6:$A$34,0))</f>
        <v>17200</v>
      </c>
      <c r="J50" s="9">
        <f>INDEX('BCA Values'!$B$6:$B$34,MATCH(J48, 'BCA Values'!$A$6:$A$34,0))</f>
        <v>17500</v>
      </c>
      <c r="K50" s="9">
        <f>INDEX('BCA Values'!$B$6:$B$34,MATCH(K48, 'BCA Values'!$A$6:$A$34,0))</f>
        <v>17900</v>
      </c>
      <c r="L50" s="9">
        <f>INDEX('BCA Values'!$B$6:$B$34,MATCH(L48, 'BCA Values'!$A$6:$A$34,0))</f>
        <v>18200</v>
      </c>
      <c r="M50" s="9">
        <f>INDEX('BCA Values'!$B$6:$B$34,MATCH(M48, 'BCA Values'!$A$6:$A$34,0))</f>
        <v>18600</v>
      </c>
      <c r="N50" s="9">
        <f>INDEX('BCA Values'!$B$6:$B$34,MATCH(N48, 'BCA Values'!$A$6:$A$34,0))</f>
        <v>18900</v>
      </c>
      <c r="O50" s="9">
        <f>INDEX('BCA Values'!$B$6:$B$34,MATCH(O48, 'BCA Values'!$A$6:$A$34,0))</f>
        <v>18900</v>
      </c>
      <c r="P50" s="9">
        <f>INDEX('BCA Values'!$B$6:$B$34,MATCH(P48, 'BCA Values'!$A$6:$A$34,0))</f>
        <v>18900</v>
      </c>
      <c r="Q50" s="9">
        <f>INDEX('BCA Values'!$B$6:$B$34,MATCH(Q48, 'BCA Values'!$A$6:$A$34,0))</f>
        <v>18900</v>
      </c>
      <c r="R50" s="9">
        <f>INDEX('BCA Values'!$B$6:$B$34,MATCH(R48, 'BCA Values'!$A$6:$A$34,0))</f>
        <v>18900</v>
      </c>
      <c r="S50" s="9">
        <f>INDEX('BCA Values'!$B$6:$B$34,MATCH(S48, 'BCA Values'!$A$6:$A$34,0))</f>
        <v>18900</v>
      </c>
      <c r="T50" s="9">
        <f>INDEX('BCA Values'!$B$6:$B$34,MATCH(T48, 'BCA Values'!$A$6:$A$34,0))</f>
        <v>18900</v>
      </c>
      <c r="U50" s="9">
        <f>INDEX('BCA Values'!$B$6:$B$34,MATCH(U48, 'BCA Values'!$A$6:$A$34,0))</f>
        <v>18900</v>
      </c>
      <c r="V50" s="9">
        <f>INDEX('BCA Values'!$B$6:$B$34,MATCH(V48, 'BCA Values'!$A$6:$A$34,0))</f>
        <v>18900</v>
      </c>
      <c r="W50" s="9">
        <f>INDEX('BCA Values'!$B$6:$B$34,MATCH(W48, 'BCA Values'!$A$6:$A$34,0))</f>
        <v>18900</v>
      </c>
      <c r="X50" s="9">
        <f>INDEX('BCA Values'!$B$6:$B$34,MATCH(X48, 'BCA Values'!$A$6:$A$34,0))</f>
        <v>18900</v>
      </c>
      <c r="Y50" s="9">
        <f>INDEX('BCA Values'!$B$6:$B$34,MATCH(Y48, 'BCA Values'!$A$6:$A$34,0))</f>
        <v>18900</v>
      </c>
      <c r="Z50" s="9">
        <f>INDEX('BCA Values'!$B$6:$B$34,MATCH(Z48, 'BCA Values'!$A$6:$A$34,0))</f>
        <v>18900</v>
      </c>
      <c r="AA50" s="9">
        <f>INDEX('BCA Values'!$B$6:$B$34,MATCH(AA48, 'BCA Values'!$A$6:$A$34,0))</f>
        <v>18900</v>
      </c>
      <c r="AB50" s="9">
        <f>INDEX('BCA Values'!$B$6:$B$34,MATCH(AB48, 'BCA Values'!$A$6:$A$34,0))</f>
        <v>18900</v>
      </c>
      <c r="AC50" s="9">
        <f>INDEX('BCA Values'!$B$6:$B$34,MATCH(AC48, 'BCA Values'!$A$6:$A$34,0))</f>
        <v>18900</v>
      </c>
      <c r="AD50" s="9">
        <f>INDEX('BCA Values'!$B$6:$B$34,MATCH(AD48, 'BCA Values'!$A$6:$A$34,0))</f>
        <v>18900</v>
      </c>
      <c r="AE50" s="9">
        <f>INDEX('BCA Values'!$B$6:$B$34,MATCH(AE48, 'BCA Values'!$A$6:$A$34,0))</f>
        <v>18900</v>
      </c>
      <c r="AF50" s="9">
        <f>INDEX('BCA Values'!$B$6:$B$34,MATCH(AF48, 'BCA Values'!$A$6:$A$34,0))</f>
        <v>18900</v>
      </c>
      <c r="AG50" s="9">
        <f>INDEX('BCA Values'!$B$6:$B$34,MATCH(AG48, 'BCA Values'!$A$6:$A$34,0))</f>
        <v>18900</v>
      </c>
      <c r="AH50" s="9">
        <f>INDEX('BCA Values'!$B$6:$B$34,MATCH(AH48, 'BCA Values'!$A$6:$A$34,0))</f>
        <v>18900</v>
      </c>
      <c r="AI50" s="9">
        <f>AH50</f>
        <v>18900</v>
      </c>
      <c r="AJ50" s="9">
        <f t="shared" ref="AJ50:AN50" si="2">AI50</f>
        <v>18900</v>
      </c>
      <c r="AK50" s="9">
        <f t="shared" si="2"/>
        <v>18900</v>
      </c>
      <c r="AL50" s="9">
        <f t="shared" si="2"/>
        <v>18900</v>
      </c>
      <c r="AM50" s="9">
        <f t="shared" si="2"/>
        <v>18900</v>
      </c>
      <c r="AN50" s="9">
        <f t="shared" si="2"/>
        <v>18900</v>
      </c>
    </row>
    <row r="51" spans="1:40" x14ac:dyDescent="0.25">
      <c r="A51" t="s">
        <v>162</v>
      </c>
      <c r="B51" s="47"/>
      <c r="C51" s="47"/>
      <c r="D51" s="47"/>
      <c r="E51" s="47"/>
      <c r="F51" s="9">
        <f>INDEX('BCA Values'!$E$6:$E$34,MATCH(F48, 'BCA Values'!$A$6:$A$34,0))</f>
        <v>56</v>
      </c>
      <c r="G51" s="9">
        <f>INDEX('BCA Values'!$E$6:$E$34,MATCH(G48, 'BCA Values'!$A$6:$A$34,0))</f>
        <v>57</v>
      </c>
      <c r="H51" s="9">
        <f>INDEX('BCA Values'!$E$6:$E$34,MATCH(H48, 'BCA Values'!$A$6:$A$34,0))</f>
        <v>58</v>
      </c>
      <c r="I51" s="9">
        <f>INDEX('BCA Values'!$E$6:$E$34,MATCH(I48, 'BCA Values'!$A$6:$A$34,0))</f>
        <v>59</v>
      </c>
      <c r="J51" s="9">
        <f>INDEX('BCA Values'!$E$6:$E$34,MATCH(J48, 'BCA Values'!$A$6:$A$34,0))</f>
        <v>60</v>
      </c>
      <c r="K51" s="9">
        <f>INDEX('BCA Values'!$E$6:$E$34,MATCH(K48, 'BCA Values'!$A$6:$A$34,0))</f>
        <v>61</v>
      </c>
      <c r="L51" s="9">
        <f>INDEX('BCA Values'!$E$6:$E$34,MATCH(L48, 'BCA Values'!$A$6:$A$34,0))</f>
        <v>62</v>
      </c>
      <c r="M51" s="9">
        <f>INDEX('BCA Values'!$E$6:$E$34,MATCH(M48, 'BCA Values'!$A$6:$A$34,0))</f>
        <v>63</v>
      </c>
      <c r="N51" s="9">
        <f>INDEX('BCA Values'!$E$6:$E$34,MATCH(N48, 'BCA Values'!$A$6:$A$34,0))</f>
        <v>65</v>
      </c>
      <c r="O51" s="9">
        <f>INDEX('BCA Values'!$E$6:$E$34,MATCH(O48, 'BCA Values'!$A$6:$A$34,0))</f>
        <v>66</v>
      </c>
      <c r="P51" s="9">
        <f>INDEX('BCA Values'!$E$6:$E$34,MATCH(P48, 'BCA Values'!$A$6:$A$34,0))</f>
        <v>67</v>
      </c>
      <c r="Q51" s="9">
        <f>INDEX('BCA Values'!$E$6:$E$34,MATCH(Q48, 'BCA Values'!$A$6:$A$34,0))</f>
        <v>68</v>
      </c>
      <c r="R51" s="9">
        <f>INDEX('BCA Values'!$E$6:$E$34,MATCH(R48, 'BCA Values'!$A$6:$A$34,0))</f>
        <v>69</v>
      </c>
      <c r="S51" s="9">
        <f>INDEX('BCA Values'!$E$6:$E$34,MATCH(S48, 'BCA Values'!$A$6:$A$34,0))</f>
        <v>70</v>
      </c>
      <c r="T51" s="9">
        <f>INDEX('BCA Values'!$E$6:$E$34,MATCH(T48, 'BCA Values'!$A$6:$A$34,0))</f>
        <v>72</v>
      </c>
      <c r="U51" s="9">
        <f>INDEX('BCA Values'!$E$6:$E$34,MATCH(U48, 'BCA Values'!$A$6:$A$34,0))</f>
        <v>73</v>
      </c>
      <c r="V51" s="9">
        <f>INDEX('BCA Values'!$E$6:$E$34,MATCH(V48, 'BCA Values'!$A$6:$A$34,0))</f>
        <v>74</v>
      </c>
      <c r="W51" s="9">
        <f>INDEX('BCA Values'!$E$6:$E$34,MATCH(W48, 'BCA Values'!$A$6:$A$34,0))</f>
        <v>75</v>
      </c>
      <c r="X51" s="9">
        <f>INDEX('BCA Values'!$E$6:$E$34,MATCH(X48, 'BCA Values'!$A$6:$A$34,0))</f>
        <v>76</v>
      </c>
      <c r="Y51" s="9">
        <f>INDEX('BCA Values'!$E$6:$E$34,MATCH(Y48, 'BCA Values'!$A$6:$A$34,0))</f>
        <v>78</v>
      </c>
      <c r="Z51" s="9">
        <f>INDEX('BCA Values'!$E$6:$E$34,MATCH(Z48, 'BCA Values'!$A$6:$A$34,0))</f>
        <v>79</v>
      </c>
      <c r="AA51" s="9">
        <f>INDEX('BCA Values'!$E$6:$E$34,MATCH(AA48, 'BCA Values'!$A$6:$A$34,0))</f>
        <v>80</v>
      </c>
      <c r="AB51" s="9">
        <f>INDEX('BCA Values'!$E$6:$E$34,MATCH(AB48, 'BCA Values'!$A$6:$A$34,0))</f>
        <v>81</v>
      </c>
      <c r="AC51" s="9">
        <f>INDEX('BCA Values'!$E$6:$E$34,MATCH(AC48, 'BCA Values'!$A$6:$A$34,0))</f>
        <v>82</v>
      </c>
      <c r="AD51" s="9">
        <f>INDEX('BCA Values'!$E$6:$E$34,MATCH(AD48, 'BCA Values'!$A$6:$A$34,0))</f>
        <v>84</v>
      </c>
      <c r="AE51" s="9">
        <f>INDEX('BCA Values'!$E$6:$E$34,MATCH(AE48, 'BCA Values'!$A$6:$A$34,0))</f>
        <v>85</v>
      </c>
      <c r="AF51" s="9">
        <f>INDEX('BCA Values'!$E$6:$E$34,MATCH(AF48, 'BCA Values'!$A$6:$A$34,0))</f>
        <v>86</v>
      </c>
      <c r="AG51" s="9">
        <f>INDEX('BCA Values'!$E$6:$E$34,MATCH(AG48, 'BCA Values'!$A$6:$A$34,0))</f>
        <v>87</v>
      </c>
      <c r="AH51" s="9">
        <f>INDEX('BCA Values'!$E$6:$E$34,MATCH(AH48, 'BCA Values'!$A$6:$A$34,0))</f>
        <v>88</v>
      </c>
      <c r="AI51" s="9">
        <f>AH51</f>
        <v>88</v>
      </c>
      <c r="AJ51" s="9">
        <f t="shared" ref="AJ51:AN51" si="3">AI51</f>
        <v>88</v>
      </c>
      <c r="AK51" s="9">
        <f t="shared" si="3"/>
        <v>88</v>
      </c>
      <c r="AL51" s="9">
        <f t="shared" si="3"/>
        <v>88</v>
      </c>
      <c r="AM51" s="9">
        <f t="shared" si="3"/>
        <v>88</v>
      </c>
      <c r="AN51" s="9">
        <f t="shared" si="3"/>
        <v>88</v>
      </c>
    </row>
    <row r="52" spans="1:40" x14ac:dyDescent="0.25">
      <c r="A52" t="s">
        <v>163</v>
      </c>
      <c r="B52" s="47"/>
      <c r="C52" s="47"/>
      <c r="D52" s="47"/>
      <c r="E52" s="47"/>
      <c r="F52" s="9">
        <f>INDEX('BCA Values'!$D$6:$D$34,MATCH(F48, 'BCA Values'!$A$6:$A$34,0))</f>
        <v>796700</v>
      </c>
      <c r="G52" s="9">
        <f>INDEX('BCA Values'!$D$6:$D$34,MATCH(G48, 'BCA Values'!$A$6:$A$34,0))</f>
        <v>810500</v>
      </c>
      <c r="H52" s="9">
        <f>INDEX('BCA Values'!$D$6:$D$34,MATCH(H48, 'BCA Values'!$A$6:$A$34,0))</f>
        <v>824500</v>
      </c>
      <c r="I52" s="9">
        <f>INDEX('BCA Values'!$D$6:$D$34,MATCH(I48, 'BCA Values'!$A$6:$A$34,0))</f>
        <v>838800</v>
      </c>
      <c r="J52" s="9">
        <f>INDEX('BCA Values'!$D$6:$D$34,MATCH(J48, 'BCA Values'!$A$6:$A$34,0))</f>
        <v>852100</v>
      </c>
      <c r="K52" s="9">
        <f>INDEX('BCA Values'!$D$6:$D$34,MATCH(K48, 'BCA Values'!$A$6:$A$34,0))</f>
        <v>865600</v>
      </c>
      <c r="L52" s="9">
        <f>INDEX('BCA Values'!$D$6:$D$34,MATCH(L48, 'BCA Values'!$A$6:$A$34,0))</f>
        <v>879400</v>
      </c>
      <c r="M52" s="9">
        <f>INDEX('BCA Values'!$D$6:$D$34,MATCH(M48, 'BCA Values'!$A$6:$A$34,0))</f>
        <v>893400</v>
      </c>
      <c r="N52" s="9">
        <f>INDEX('BCA Values'!$D$6:$D$34,MATCH(N48, 'BCA Values'!$A$6:$A$34,0))</f>
        <v>907600</v>
      </c>
      <c r="O52" s="9">
        <f>INDEX('BCA Values'!$D$6:$D$34,MATCH(O48, 'BCA Values'!$A$6:$A$34,0))</f>
        <v>907600</v>
      </c>
      <c r="P52" s="9">
        <f>INDEX('BCA Values'!$D$6:$D$34,MATCH(P48, 'BCA Values'!$A$6:$A$34,0))</f>
        <v>907600</v>
      </c>
      <c r="Q52" s="9">
        <f>INDEX('BCA Values'!$D$6:$D$34,MATCH(Q48, 'BCA Values'!$A$6:$A$34,0))</f>
        <v>907600</v>
      </c>
      <c r="R52" s="9">
        <f>INDEX('BCA Values'!$D$6:$D$34,MATCH(R48, 'BCA Values'!$A$6:$A$34,0))</f>
        <v>907600</v>
      </c>
      <c r="S52" s="9">
        <f>INDEX('BCA Values'!$D$6:$D$34,MATCH(S48, 'BCA Values'!$A$6:$A$34,0))</f>
        <v>907600</v>
      </c>
      <c r="T52" s="9">
        <f>INDEX('BCA Values'!$D$6:$D$34,MATCH(T48, 'BCA Values'!$A$6:$A$34,0))</f>
        <v>907600</v>
      </c>
      <c r="U52" s="9">
        <f>INDEX('BCA Values'!$D$6:$D$34,MATCH(U48, 'BCA Values'!$A$6:$A$34,0))</f>
        <v>907600</v>
      </c>
      <c r="V52" s="9">
        <f>INDEX('BCA Values'!$D$6:$D$34,MATCH(V48, 'BCA Values'!$A$6:$A$34,0))</f>
        <v>907600</v>
      </c>
      <c r="W52" s="9">
        <f>INDEX('BCA Values'!$D$6:$D$34,MATCH(W48, 'BCA Values'!$A$6:$A$34,0))</f>
        <v>907600</v>
      </c>
      <c r="X52" s="9">
        <f>INDEX('BCA Values'!$D$6:$D$34,MATCH(X48, 'BCA Values'!$A$6:$A$34,0))</f>
        <v>907600</v>
      </c>
      <c r="Y52" s="9">
        <f>INDEX('BCA Values'!$D$6:$D$34,MATCH(Y48, 'BCA Values'!$A$6:$A$34,0))</f>
        <v>907600</v>
      </c>
      <c r="Z52" s="9">
        <f>INDEX('BCA Values'!$D$6:$D$34,MATCH(Z48, 'BCA Values'!$A$6:$A$34,0))</f>
        <v>907600</v>
      </c>
      <c r="AA52" s="9">
        <f>INDEX('BCA Values'!$D$6:$D$34,MATCH(AA48, 'BCA Values'!$A$6:$A$34,0))</f>
        <v>907600</v>
      </c>
      <c r="AB52" s="9">
        <f>INDEX('BCA Values'!$D$6:$D$34,MATCH(AB48, 'BCA Values'!$A$6:$A$34,0))</f>
        <v>907600</v>
      </c>
      <c r="AC52" s="9">
        <f>INDEX('BCA Values'!$D$6:$D$34,MATCH(AC48, 'BCA Values'!$A$6:$A$34,0))</f>
        <v>907600</v>
      </c>
      <c r="AD52" s="9">
        <f>INDEX('BCA Values'!$D$6:$D$34,MATCH(AD48, 'BCA Values'!$A$6:$A$34,0))</f>
        <v>907600</v>
      </c>
      <c r="AE52" s="9">
        <f>INDEX('BCA Values'!$D$6:$D$34,MATCH(AE48, 'BCA Values'!$A$6:$A$34,0))</f>
        <v>907600</v>
      </c>
      <c r="AF52" s="9">
        <f>INDEX('BCA Values'!$D$6:$D$34,MATCH(AF48, 'BCA Values'!$A$6:$A$34,0))</f>
        <v>907600</v>
      </c>
      <c r="AG52" s="9">
        <f>INDEX('BCA Values'!$D$6:$D$34,MATCH(AG48, 'BCA Values'!$A$6:$A$34,0))</f>
        <v>907600</v>
      </c>
      <c r="AH52" s="9">
        <f>INDEX('BCA Values'!$D$6:$D$34,MATCH(AH48, 'BCA Values'!$A$6:$A$34,0))</f>
        <v>907600</v>
      </c>
      <c r="AI52" s="9">
        <f>AH52</f>
        <v>907600</v>
      </c>
      <c r="AJ52" s="9">
        <f t="shared" ref="AJ52:AN52" si="4">AI52</f>
        <v>907600</v>
      </c>
      <c r="AK52" s="9">
        <f t="shared" si="4"/>
        <v>907600</v>
      </c>
      <c r="AL52" s="9">
        <f t="shared" si="4"/>
        <v>907600</v>
      </c>
      <c r="AM52" s="9">
        <f t="shared" si="4"/>
        <v>907600</v>
      </c>
      <c r="AN52" s="9">
        <f t="shared" si="4"/>
        <v>907600</v>
      </c>
    </row>
    <row r="53" spans="1:40" x14ac:dyDescent="0.25">
      <c r="A53" t="s">
        <v>192</v>
      </c>
      <c r="B53" s="20">
        <f>'BCA Values'!H16</f>
        <v>13046800</v>
      </c>
      <c r="C53" s="13">
        <f t="shared" ref="C53:C59" si="5">NPV($C$47, F53:AN53)</f>
        <v>6714600.4780921303</v>
      </c>
      <c r="D53" s="13">
        <f t="shared" ref="D53:D59" si="6">NPV($D$47, F53:AN53)</f>
        <v>3323171.817876271</v>
      </c>
      <c r="E53" s="13">
        <f t="shared" ref="E53:E59" si="7">SUM(F53:AN53)</f>
        <v>12327431.77850356</v>
      </c>
      <c r="F53" s="9">
        <f t="shared" ref="F53:AM53" si="8">(F49*$C$22)*$B$53</f>
        <v>0</v>
      </c>
      <c r="G53" s="9">
        <f t="shared" si="8"/>
        <v>0</v>
      </c>
      <c r="H53" s="9">
        <f t="shared" si="8"/>
        <v>0</v>
      </c>
      <c r="I53" s="9">
        <f t="shared" si="8"/>
        <v>0</v>
      </c>
      <c r="J53" s="9">
        <f t="shared" si="8"/>
        <v>0</v>
      </c>
      <c r="K53" s="9">
        <f t="shared" si="8"/>
        <v>67485.94039326768</v>
      </c>
      <c r="L53" s="9">
        <f t="shared" si="8"/>
        <v>179962.50771538049</v>
      </c>
      <c r="M53" s="9">
        <f t="shared" si="8"/>
        <v>269943.76157307072</v>
      </c>
      <c r="N53" s="9">
        <f t="shared" si="8"/>
        <v>314934.38850191585</v>
      </c>
      <c r="O53" s="9">
        <f t="shared" si="8"/>
        <v>359925.01543076098</v>
      </c>
      <c r="P53" s="9">
        <f t="shared" si="8"/>
        <v>449906.26928845124</v>
      </c>
      <c r="Q53" s="9">
        <f t="shared" si="8"/>
        <v>449906.26928845124</v>
      </c>
      <c r="R53" s="9">
        <f t="shared" si="8"/>
        <v>449906.26928845124</v>
      </c>
      <c r="S53" s="9">
        <f t="shared" si="8"/>
        <v>449906.26928845124</v>
      </c>
      <c r="T53" s="9">
        <f t="shared" si="8"/>
        <v>449906.26928845124</v>
      </c>
      <c r="U53" s="9">
        <f t="shared" si="8"/>
        <v>449906.26928845124</v>
      </c>
      <c r="V53" s="9">
        <f t="shared" si="8"/>
        <v>449906.26928845124</v>
      </c>
      <c r="W53" s="9">
        <f t="shared" si="8"/>
        <v>449906.26928845124</v>
      </c>
      <c r="X53" s="9">
        <f t="shared" si="8"/>
        <v>449906.26928845124</v>
      </c>
      <c r="Y53" s="9">
        <f t="shared" si="8"/>
        <v>449906.26928845124</v>
      </c>
      <c r="Z53" s="9">
        <f t="shared" si="8"/>
        <v>449906.26928845124</v>
      </c>
      <c r="AA53" s="9">
        <f t="shared" si="8"/>
        <v>449906.26928845124</v>
      </c>
      <c r="AB53" s="9">
        <f t="shared" si="8"/>
        <v>449906.26928845124</v>
      </c>
      <c r="AC53" s="9">
        <f t="shared" si="8"/>
        <v>449906.26928845124</v>
      </c>
      <c r="AD53" s="9">
        <f t="shared" si="8"/>
        <v>449906.26928845124</v>
      </c>
      <c r="AE53" s="9">
        <f t="shared" si="8"/>
        <v>449906.26928845124</v>
      </c>
      <c r="AF53" s="9">
        <f t="shared" si="8"/>
        <v>449906.26928845124</v>
      </c>
      <c r="AG53" s="9">
        <f t="shared" si="8"/>
        <v>449906.26928845124</v>
      </c>
      <c r="AH53" s="9">
        <f t="shared" si="8"/>
        <v>449906.26928845124</v>
      </c>
      <c r="AI53" s="9">
        <f t="shared" si="8"/>
        <v>449906.26928845124</v>
      </c>
      <c r="AJ53" s="9">
        <f t="shared" si="8"/>
        <v>449906.26928845124</v>
      </c>
      <c r="AK53" s="9">
        <f t="shared" si="8"/>
        <v>449906.26928845124</v>
      </c>
      <c r="AL53" s="9">
        <f t="shared" si="8"/>
        <v>449906.26928845124</v>
      </c>
      <c r="AM53" s="9">
        <f t="shared" si="8"/>
        <v>449906.26928845124</v>
      </c>
      <c r="AN53" s="9">
        <f t="shared" ref="AN53" si="9">(AN49*$C$22)*$B$53</f>
        <v>337429.70196633844</v>
      </c>
    </row>
    <row r="54" spans="1:40" x14ac:dyDescent="0.25">
      <c r="A54" t="s">
        <v>193</v>
      </c>
      <c r="B54" s="20">
        <f>'BCA Values'!H15</f>
        <v>307800</v>
      </c>
      <c r="C54" s="13">
        <f t="shared" si="5"/>
        <v>11634872.619781289</v>
      </c>
      <c r="D54" s="13">
        <f t="shared" si="6"/>
        <v>5758299.5326065198</v>
      </c>
      <c r="E54" s="13">
        <f t="shared" si="7"/>
        <v>21360630.307029992</v>
      </c>
      <c r="F54" s="9">
        <f t="shared" ref="F54:AM54" si="10">(F49*$B$22)*$B$54</f>
        <v>0</v>
      </c>
      <c r="G54" s="9">
        <f t="shared" si="10"/>
        <v>0</v>
      </c>
      <c r="H54" s="9">
        <f t="shared" si="10"/>
        <v>0</v>
      </c>
      <c r="I54" s="9">
        <f t="shared" si="10"/>
        <v>0</v>
      </c>
      <c r="J54" s="9">
        <f t="shared" si="10"/>
        <v>0</v>
      </c>
      <c r="K54" s="9">
        <f t="shared" si="10"/>
        <v>116937.75715527368</v>
      </c>
      <c r="L54" s="9">
        <f t="shared" si="10"/>
        <v>311834.01908072981</v>
      </c>
      <c r="M54" s="9">
        <f t="shared" si="10"/>
        <v>467751.02862109471</v>
      </c>
      <c r="N54" s="9">
        <f t="shared" si="10"/>
        <v>545709.53339127719</v>
      </c>
      <c r="O54" s="9">
        <f t="shared" si="10"/>
        <v>623668.03816145961</v>
      </c>
      <c r="P54" s="9">
        <f t="shared" si="10"/>
        <v>779585.04770182457</v>
      </c>
      <c r="Q54" s="9">
        <f t="shared" si="10"/>
        <v>779585.04770182457</v>
      </c>
      <c r="R54" s="9">
        <f t="shared" si="10"/>
        <v>779585.04770182457</v>
      </c>
      <c r="S54" s="9">
        <f t="shared" si="10"/>
        <v>779585.04770182457</v>
      </c>
      <c r="T54" s="9">
        <f t="shared" si="10"/>
        <v>779585.04770182457</v>
      </c>
      <c r="U54" s="9">
        <f t="shared" si="10"/>
        <v>779585.04770182457</v>
      </c>
      <c r="V54" s="9">
        <f t="shared" si="10"/>
        <v>779585.04770182457</v>
      </c>
      <c r="W54" s="9">
        <f t="shared" si="10"/>
        <v>779585.04770182457</v>
      </c>
      <c r="X54" s="9">
        <f t="shared" si="10"/>
        <v>779585.04770182457</v>
      </c>
      <c r="Y54" s="9">
        <f t="shared" si="10"/>
        <v>779585.04770182457</v>
      </c>
      <c r="Z54" s="9">
        <f t="shared" si="10"/>
        <v>779585.04770182457</v>
      </c>
      <c r="AA54" s="9">
        <f t="shared" si="10"/>
        <v>779585.04770182457</v>
      </c>
      <c r="AB54" s="9">
        <f t="shared" si="10"/>
        <v>779585.04770182457</v>
      </c>
      <c r="AC54" s="9">
        <f t="shared" si="10"/>
        <v>779585.04770182457</v>
      </c>
      <c r="AD54" s="9">
        <f t="shared" si="10"/>
        <v>779585.04770182457</v>
      </c>
      <c r="AE54" s="9">
        <f t="shared" si="10"/>
        <v>779585.04770182457</v>
      </c>
      <c r="AF54" s="9">
        <f t="shared" si="10"/>
        <v>779585.04770182457</v>
      </c>
      <c r="AG54" s="9">
        <f t="shared" si="10"/>
        <v>779585.04770182457</v>
      </c>
      <c r="AH54" s="9">
        <f t="shared" si="10"/>
        <v>779585.04770182457</v>
      </c>
      <c r="AI54" s="9">
        <f t="shared" si="10"/>
        <v>779585.04770182457</v>
      </c>
      <c r="AJ54" s="9">
        <f t="shared" si="10"/>
        <v>779585.04770182457</v>
      </c>
      <c r="AK54" s="9">
        <f t="shared" si="10"/>
        <v>779585.04770182457</v>
      </c>
      <c r="AL54" s="9">
        <f t="shared" si="10"/>
        <v>779585.04770182457</v>
      </c>
      <c r="AM54" s="9">
        <f t="shared" si="10"/>
        <v>779585.04770182457</v>
      </c>
      <c r="AN54" s="9">
        <f t="shared" ref="AN54" si="11">(AN49*$B$22)*$B$54</f>
        <v>584688.78577636846</v>
      </c>
    </row>
    <row r="55" spans="1:40" x14ac:dyDescent="0.25">
      <c r="A55" t="s">
        <v>194</v>
      </c>
      <c r="B55" s="20">
        <f>'BCA Values'!H21</f>
        <v>4800</v>
      </c>
      <c r="C55" s="13">
        <f t="shared" si="5"/>
        <v>296864.15615485405</v>
      </c>
      <c r="D55" s="13">
        <f t="shared" si="6"/>
        <v>146923.20126717971</v>
      </c>
      <c r="E55" s="13">
        <f t="shared" si="7"/>
        <v>545017.18224668107</v>
      </c>
      <c r="F55" s="9">
        <f t="shared" ref="F55:I55" si="12">(F49*$D$22)*$B$55</f>
        <v>0</v>
      </c>
      <c r="G55" s="9">
        <f t="shared" si="12"/>
        <v>0</v>
      </c>
      <c r="H55" s="9">
        <f t="shared" si="12"/>
        <v>0</v>
      </c>
      <c r="I55" s="9">
        <f t="shared" si="12"/>
        <v>0</v>
      </c>
      <c r="J55" s="9">
        <f t="shared" ref="J55:AM55" si="13">(J49*$D$22)*$B$55</f>
        <v>0</v>
      </c>
      <c r="K55" s="9">
        <f t="shared" si="13"/>
        <v>2983.6707057300073</v>
      </c>
      <c r="L55" s="9">
        <f t="shared" si="13"/>
        <v>7956.4552152800179</v>
      </c>
      <c r="M55" s="9">
        <f t="shared" si="13"/>
        <v>11934.682822920029</v>
      </c>
      <c r="N55" s="9">
        <f t="shared" si="13"/>
        <v>13923.796626740033</v>
      </c>
      <c r="O55" s="9">
        <f t="shared" si="13"/>
        <v>15912.910430560036</v>
      </c>
      <c r="P55" s="9">
        <f t="shared" si="13"/>
        <v>19891.138038200046</v>
      </c>
      <c r="Q55" s="9">
        <f t="shared" si="13"/>
        <v>19891.138038200046</v>
      </c>
      <c r="R55" s="9">
        <f t="shared" si="13"/>
        <v>19891.138038200046</v>
      </c>
      <c r="S55" s="9">
        <f t="shared" si="13"/>
        <v>19891.138038200046</v>
      </c>
      <c r="T55" s="9">
        <f t="shared" si="13"/>
        <v>19891.138038200046</v>
      </c>
      <c r="U55" s="9">
        <f t="shared" si="13"/>
        <v>19891.138038200046</v>
      </c>
      <c r="V55" s="9">
        <f t="shared" si="13"/>
        <v>19891.138038200046</v>
      </c>
      <c r="W55" s="9">
        <f t="shared" si="13"/>
        <v>19891.138038200046</v>
      </c>
      <c r="X55" s="9">
        <f t="shared" si="13"/>
        <v>19891.138038200046</v>
      </c>
      <c r="Y55" s="9">
        <f t="shared" si="13"/>
        <v>19891.138038200046</v>
      </c>
      <c r="Z55" s="9">
        <f t="shared" si="13"/>
        <v>19891.138038200046</v>
      </c>
      <c r="AA55" s="9">
        <f t="shared" si="13"/>
        <v>19891.138038200046</v>
      </c>
      <c r="AB55" s="9">
        <f t="shared" si="13"/>
        <v>19891.138038200046</v>
      </c>
      <c r="AC55" s="9">
        <f t="shared" si="13"/>
        <v>19891.138038200046</v>
      </c>
      <c r="AD55" s="9">
        <f t="shared" si="13"/>
        <v>19891.138038200046</v>
      </c>
      <c r="AE55" s="9">
        <f t="shared" si="13"/>
        <v>19891.138038200046</v>
      </c>
      <c r="AF55" s="9">
        <f t="shared" si="13"/>
        <v>19891.138038200046</v>
      </c>
      <c r="AG55" s="9">
        <f t="shared" si="13"/>
        <v>19891.138038200046</v>
      </c>
      <c r="AH55" s="9">
        <f t="shared" si="13"/>
        <v>19891.138038200046</v>
      </c>
      <c r="AI55" s="9">
        <f t="shared" si="13"/>
        <v>19891.138038200046</v>
      </c>
      <c r="AJ55" s="9">
        <f t="shared" si="13"/>
        <v>19891.138038200046</v>
      </c>
      <c r="AK55" s="9">
        <f t="shared" si="13"/>
        <v>19891.138038200046</v>
      </c>
      <c r="AL55" s="9">
        <f t="shared" si="13"/>
        <v>19891.138038200046</v>
      </c>
      <c r="AM55" s="9">
        <f t="shared" si="13"/>
        <v>19891.138038200046</v>
      </c>
      <c r="AN55" s="9">
        <f t="shared" ref="AN55" si="14">(AN49*$D$22)*$B$55</f>
        <v>14918.353528650037</v>
      </c>
    </row>
    <row r="56" spans="1:40" x14ac:dyDescent="0.25">
      <c r="A56" t="s">
        <v>195</v>
      </c>
      <c r="B56" s="67"/>
      <c r="C56" s="13">
        <f t="shared" si="5"/>
        <v>2730511.0617577084</v>
      </c>
      <c r="D56" s="13">
        <f t="shared" si="6"/>
        <v>1329397.1709250915</v>
      </c>
      <c r="E56" s="13">
        <f t="shared" si="7"/>
        <v>5078212.8869054224</v>
      </c>
      <c r="F56" s="9">
        <f t="shared" ref="F56:H56" si="15">(F49*$C$27*F50)+(F49*$C$29*F51)+(F49*$C$30*F52)</f>
        <v>0</v>
      </c>
      <c r="G56" s="9">
        <f t="shared" si="15"/>
        <v>0</v>
      </c>
      <c r="H56" s="9">
        <f t="shared" si="15"/>
        <v>0</v>
      </c>
      <c r="I56" s="9">
        <f>(I49*$C$27*I50)+(I49*$C$29*I51)+(I49*$C$30*I52)</f>
        <v>0</v>
      </c>
      <c r="J56" s="9">
        <f t="shared" ref="J56:AM56" si="16">(J49*$C$27*J50)+(J49*$C$29*J51)+(J49*$C$30*J52)</f>
        <v>0</v>
      </c>
      <c r="K56" s="9">
        <f t="shared" si="16"/>
        <v>24014.950958146204</v>
      </c>
      <c r="L56" s="9">
        <f t="shared" si="16"/>
        <v>65085.800774852767</v>
      </c>
      <c r="M56" s="9">
        <f t="shared" si="16"/>
        <v>99326.18501955962</v>
      </c>
      <c r="N56" s="9">
        <f t="shared" si="16"/>
        <v>118562.26904373118</v>
      </c>
      <c r="O56" s="9">
        <f t="shared" si="16"/>
        <v>136453.80321517229</v>
      </c>
      <c r="P56" s="9">
        <f t="shared" si="16"/>
        <v>171759.83797545763</v>
      </c>
      <c r="Q56" s="9">
        <f t="shared" si="16"/>
        <v>172952.42193194988</v>
      </c>
      <c r="R56" s="9">
        <f t="shared" si="16"/>
        <v>174145.00588844216</v>
      </c>
      <c r="S56" s="9">
        <f t="shared" si="16"/>
        <v>175337.58984493441</v>
      </c>
      <c r="T56" s="9">
        <f t="shared" si="16"/>
        <v>177722.75775791894</v>
      </c>
      <c r="U56" s="9">
        <f t="shared" si="16"/>
        <v>178915.34171441122</v>
      </c>
      <c r="V56" s="9">
        <f t="shared" si="16"/>
        <v>180107.92567090347</v>
      </c>
      <c r="W56" s="9">
        <f t="shared" si="16"/>
        <v>181300.50962739572</v>
      </c>
      <c r="X56" s="9">
        <f t="shared" si="16"/>
        <v>182493.093583888</v>
      </c>
      <c r="Y56" s="9">
        <f t="shared" si="16"/>
        <v>184878.26149687252</v>
      </c>
      <c r="Z56" s="9">
        <f t="shared" si="16"/>
        <v>186070.84545336477</v>
      </c>
      <c r="AA56" s="9">
        <f t="shared" si="16"/>
        <v>187263.42940985705</v>
      </c>
      <c r="AB56" s="9">
        <f t="shared" si="16"/>
        <v>188456.0133663493</v>
      </c>
      <c r="AC56" s="9">
        <f t="shared" si="16"/>
        <v>189648.59732284155</v>
      </c>
      <c r="AD56" s="9">
        <f t="shared" si="16"/>
        <v>192033.76523582608</v>
      </c>
      <c r="AE56" s="9">
        <f t="shared" si="16"/>
        <v>193226.34919231836</v>
      </c>
      <c r="AF56" s="9">
        <f t="shared" si="16"/>
        <v>194418.93314881061</v>
      </c>
      <c r="AG56" s="9">
        <f t="shared" si="16"/>
        <v>195611.51710530289</v>
      </c>
      <c r="AH56" s="9">
        <f t="shared" si="16"/>
        <v>196804.10106179514</v>
      </c>
      <c r="AI56" s="9">
        <f t="shared" si="16"/>
        <v>196804.10106179514</v>
      </c>
      <c r="AJ56" s="9">
        <f t="shared" si="16"/>
        <v>196804.10106179514</v>
      </c>
      <c r="AK56" s="9">
        <f t="shared" si="16"/>
        <v>196804.10106179514</v>
      </c>
      <c r="AL56" s="9">
        <f t="shared" si="16"/>
        <v>196804.10106179514</v>
      </c>
      <c r="AM56" s="9">
        <f t="shared" si="16"/>
        <v>196804.10106179514</v>
      </c>
      <c r="AN56" s="9">
        <f t="shared" ref="AN56" si="17">(AN49*$C$27*AN50)+(AN49*$C$29*AN51)+(AN49*$C$30*AN52)</f>
        <v>147603.07579634635</v>
      </c>
    </row>
    <row r="57" spans="1:40" x14ac:dyDescent="0.25">
      <c r="A57" t="s">
        <v>114</v>
      </c>
      <c r="B57" s="20">
        <f>'BCA Values'!$L$38</f>
        <v>2.07E-2</v>
      </c>
      <c r="C57" s="13">
        <f t="shared" si="5"/>
        <v>911960.59875056101</v>
      </c>
      <c r="D57" s="13">
        <f t="shared" si="6"/>
        <v>451345.0607626533</v>
      </c>
      <c r="E57" s="13">
        <f t="shared" si="7"/>
        <v>1674281.6050576272</v>
      </c>
      <c r="F57">
        <f t="shared" ref="F57:AM57" si="18">$B$57*F49</f>
        <v>0</v>
      </c>
      <c r="G57">
        <f t="shared" si="18"/>
        <v>0</v>
      </c>
      <c r="H57">
        <f t="shared" si="18"/>
        <v>0</v>
      </c>
      <c r="I57">
        <f t="shared" si="18"/>
        <v>0</v>
      </c>
      <c r="J57">
        <f t="shared" si="18"/>
        <v>0</v>
      </c>
      <c r="K57">
        <f t="shared" si="18"/>
        <v>9165.7752101694914</v>
      </c>
      <c r="L57">
        <f t="shared" si="18"/>
        <v>24442.067227118641</v>
      </c>
      <c r="M57">
        <f t="shared" si="18"/>
        <v>36663.100840677966</v>
      </c>
      <c r="N57">
        <f t="shared" si="18"/>
        <v>42773.617647457628</v>
      </c>
      <c r="O57">
        <f t="shared" si="18"/>
        <v>48884.134454237283</v>
      </c>
      <c r="P57">
        <f t="shared" si="18"/>
        <v>61105.168067796607</v>
      </c>
      <c r="Q57">
        <f t="shared" si="18"/>
        <v>61105.168067796607</v>
      </c>
      <c r="R57">
        <f t="shared" si="18"/>
        <v>61105.168067796607</v>
      </c>
      <c r="S57">
        <f t="shared" si="18"/>
        <v>61105.168067796607</v>
      </c>
      <c r="T57">
        <f t="shared" si="18"/>
        <v>61105.168067796607</v>
      </c>
      <c r="U57">
        <f t="shared" si="18"/>
        <v>61105.168067796607</v>
      </c>
      <c r="V57">
        <f t="shared" si="18"/>
        <v>61105.168067796607</v>
      </c>
      <c r="W57">
        <f t="shared" si="18"/>
        <v>61105.168067796607</v>
      </c>
      <c r="X57">
        <f t="shared" si="18"/>
        <v>61105.168067796607</v>
      </c>
      <c r="Y57">
        <f t="shared" si="18"/>
        <v>61105.168067796607</v>
      </c>
      <c r="Z57">
        <f t="shared" si="18"/>
        <v>61105.168067796607</v>
      </c>
      <c r="AA57">
        <f t="shared" si="18"/>
        <v>61105.168067796607</v>
      </c>
      <c r="AB57">
        <f t="shared" si="18"/>
        <v>61105.168067796607</v>
      </c>
      <c r="AC57">
        <f t="shared" si="18"/>
        <v>61105.168067796607</v>
      </c>
      <c r="AD57">
        <f t="shared" si="18"/>
        <v>61105.168067796607</v>
      </c>
      <c r="AE57">
        <f t="shared" si="18"/>
        <v>61105.168067796607</v>
      </c>
      <c r="AF57">
        <f t="shared" si="18"/>
        <v>61105.168067796607</v>
      </c>
      <c r="AG57">
        <f t="shared" si="18"/>
        <v>61105.168067796607</v>
      </c>
      <c r="AH57">
        <f t="shared" si="18"/>
        <v>61105.168067796607</v>
      </c>
      <c r="AI57">
        <f t="shared" si="18"/>
        <v>61105.168067796607</v>
      </c>
      <c r="AJ57">
        <f t="shared" si="18"/>
        <v>61105.168067796607</v>
      </c>
      <c r="AK57">
        <f t="shared" si="18"/>
        <v>61105.168067796607</v>
      </c>
      <c r="AL57">
        <f t="shared" si="18"/>
        <v>61105.168067796607</v>
      </c>
      <c r="AM57">
        <f t="shared" si="18"/>
        <v>61105.168067796607</v>
      </c>
      <c r="AN57">
        <f t="shared" ref="AN57" si="19">$B$57*AN49</f>
        <v>45828.876050847459</v>
      </c>
    </row>
    <row r="58" spans="1:40" x14ac:dyDescent="0.25">
      <c r="A58" t="s">
        <v>115</v>
      </c>
      <c r="B58" s="20">
        <f>'BCA Values'!$K$38</f>
        <v>0.222</v>
      </c>
      <c r="C58" s="13">
        <f t="shared" si="5"/>
        <v>9780447.0010929722</v>
      </c>
      <c r="D58" s="13">
        <f t="shared" si="6"/>
        <v>4840512.2458603401</v>
      </c>
      <c r="E58" s="13">
        <f t="shared" si="7"/>
        <v>17956063.590473101</v>
      </c>
      <c r="F58" s="2">
        <f>$B$58*F$49</f>
        <v>0</v>
      </c>
      <c r="G58" s="2">
        <f t="shared" ref="G58:AM58" si="20">$B$58*G49</f>
        <v>0</v>
      </c>
      <c r="H58" s="2">
        <f t="shared" si="20"/>
        <v>0</v>
      </c>
      <c r="I58" s="2">
        <f t="shared" si="20"/>
        <v>0</v>
      </c>
      <c r="J58" s="2">
        <f t="shared" si="20"/>
        <v>0</v>
      </c>
      <c r="K58" s="2">
        <f t="shared" si="20"/>
        <v>98299.61819602063</v>
      </c>
      <c r="L58" s="2">
        <f t="shared" si="20"/>
        <v>262132.31518938835</v>
      </c>
      <c r="M58" s="2">
        <f t="shared" si="20"/>
        <v>393198.47278408252</v>
      </c>
      <c r="N58" s="2">
        <f t="shared" si="20"/>
        <v>458731.55158142961</v>
      </c>
      <c r="O58" s="2">
        <f t="shared" si="20"/>
        <v>524264.6303787767</v>
      </c>
      <c r="P58" s="2">
        <f t="shared" si="20"/>
        <v>655330.78797347087</v>
      </c>
      <c r="Q58" s="2">
        <f t="shared" si="20"/>
        <v>655330.78797347087</v>
      </c>
      <c r="R58" s="2">
        <f t="shared" si="20"/>
        <v>655330.78797347087</v>
      </c>
      <c r="S58" s="2">
        <f t="shared" si="20"/>
        <v>655330.78797347087</v>
      </c>
      <c r="T58" s="2">
        <f t="shared" si="20"/>
        <v>655330.78797347087</v>
      </c>
      <c r="U58" s="2">
        <f t="shared" si="20"/>
        <v>655330.78797347087</v>
      </c>
      <c r="V58" s="2">
        <f t="shared" si="20"/>
        <v>655330.78797347087</v>
      </c>
      <c r="W58" s="2">
        <f t="shared" si="20"/>
        <v>655330.78797347087</v>
      </c>
      <c r="X58" s="2">
        <f t="shared" si="20"/>
        <v>655330.78797347087</v>
      </c>
      <c r="Y58" s="2">
        <f t="shared" si="20"/>
        <v>655330.78797347087</v>
      </c>
      <c r="Z58" s="2">
        <f t="shared" si="20"/>
        <v>655330.78797347087</v>
      </c>
      <c r="AA58" s="2">
        <f t="shared" si="20"/>
        <v>655330.78797347087</v>
      </c>
      <c r="AB58" s="2">
        <f t="shared" si="20"/>
        <v>655330.78797347087</v>
      </c>
      <c r="AC58" s="2">
        <f t="shared" si="20"/>
        <v>655330.78797347087</v>
      </c>
      <c r="AD58" s="2">
        <f t="shared" si="20"/>
        <v>655330.78797347087</v>
      </c>
      <c r="AE58" s="2">
        <f t="shared" si="20"/>
        <v>655330.78797347087</v>
      </c>
      <c r="AF58" s="2">
        <f t="shared" si="20"/>
        <v>655330.78797347087</v>
      </c>
      <c r="AG58" s="2">
        <f t="shared" si="20"/>
        <v>655330.78797347087</v>
      </c>
      <c r="AH58" s="2">
        <f t="shared" si="20"/>
        <v>655330.78797347087</v>
      </c>
      <c r="AI58" s="2">
        <f t="shared" si="20"/>
        <v>655330.78797347087</v>
      </c>
      <c r="AJ58" s="2">
        <f t="shared" si="20"/>
        <v>655330.78797347087</v>
      </c>
      <c r="AK58" s="2">
        <f t="shared" si="20"/>
        <v>655330.78797347087</v>
      </c>
      <c r="AL58" s="2">
        <f t="shared" si="20"/>
        <v>655330.78797347087</v>
      </c>
      <c r="AM58" s="2">
        <f t="shared" si="20"/>
        <v>655330.78797347087</v>
      </c>
      <c r="AN58" s="2">
        <f t="shared" ref="AN58" si="21">$B$58*AN49</f>
        <v>491498.09098010318</v>
      </c>
    </row>
    <row r="59" spans="1:40" x14ac:dyDescent="0.25">
      <c r="A59" t="s">
        <v>186</v>
      </c>
      <c r="B59" s="20">
        <f>B43</f>
        <v>0.06</v>
      </c>
      <c r="C59" s="13">
        <f t="shared" si="5"/>
        <v>2643364.0543494523</v>
      </c>
      <c r="D59" s="13">
        <f t="shared" si="6"/>
        <v>1308246.5529352271</v>
      </c>
      <c r="E59" s="13">
        <f t="shared" si="7"/>
        <v>4852990.1595873237</v>
      </c>
      <c r="F59" s="2">
        <f t="shared" ref="F59:AN59" si="22">$B$59*F$49</f>
        <v>0</v>
      </c>
      <c r="G59" s="2">
        <f t="shared" si="22"/>
        <v>0</v>
      </c>
      <c r="H59" s="2">
        <f t="shared" si="22"/>
        <v>0</v>
      </c>
      <c r="I59" s="2">
        <f t="shared" si="22"/>
        <v>0</v>
      </c>
      <c r="J59" s="2">
        <f t="shared" si="22"/>
        <v>0</v>
      </c>
      <c r="K59" s="2">
        <f t="shared" si="22"/>
        <v>26567.464377302873</v>
      </c>
      <c r="L59" s="2">
        <f t="shared" si="22"/>
        <v>70846.571672807651</v>
      </c>
      <c r="M59" s="2">
        <f t="shared" si="22"/>
        <v>106269.85750921149</v>
      </c>
      <c r="N59" s="2">
        <f t="shared" si="22"/>
        <v>123981.50042741341</v>
      </c>
      <c r="O59" s="2">
        <f t="shared" si="22"/>
        <v>141693.1433456153</v>
      </c>
      <c r="P59" s="2">
        <f t="shared" si="22"/>
        <v>177116.42918201914</v>
      </c>
      <c r="Q59" s="2">
        <f t="shared" si="22"/>
        <v>177116.42918201914</v>
      </c>
      <c r="R59" s="2">
        <f t="shared" si="22"/>
        <v>177116.42918201914</v>
      </c>
      <c r="S59" s="2">
        <f t="shared" si="22"/>
        <v>177116.42918201914</v>
      </c>
      <c r="T59" s="2">
        <f t="shared" si="22"/>
        <v>177116.42918201914</v>
      </c>
      <c r="U59" s="2">
        <f t="shared" si="22"/>
        <v>177116.42918201914</v>
      </c>
      <c r="V59" s="2">
        <f t="shared" si="22"/>
        <v>177116.42918201914</v>
      </c>
      <c r="W59" s="2">
        <f t="shared" si="22"/>
        <v>177116.42918201914</v>
      </c>
      <c r="X59" s="2">
        <f t="shared" si="22"/>
        <v>177116.42918201914</v>
      </c>
      <c r="Y59" s="2">
        <f t="shared" si="22"/>
        <v>177116.42918201914</v>
      </c>
      <c r="Z59" s="2">
        <f t="shared" si="22"/>
        <v>177116.42918201914</v>
      </c>
      <c r="AA59" s="2">
        <f t="shared" si="22"/>
        <v>177116.42918201914</v>
      </c>
      <c r="AB59" s="2">
        <f t="shared" si="22"/>
        <v>177116.42918201914</v>
      </c>
      <c r="AC59" s="2">
        <f t="shared" si="22"/>
        <v>177116.42918201914</v>
      </c>
      <c r="AD59" s="2">
        <f t="shared" si="22"/>
        <v>177116.42918201914</v>
      </c>
      <c r="AE59" s="2">
        <f t="shared" si="22"/>
        <v>177116.42918201914</v>
      </c>
      <c r="AF59" s="2">
        <f t="shared" si="22"/>
        <v>177116.42918201914</v>
      </c>
      <c r="AG59" s="2">
        <f t="shared" si="22"/>
        <v>177116.42918201914</v>
      </c>
      <c r="AH59" s="2">
        <f t="shared" si="22"/>
        <v>177116.42918201914</v>
      </c>
      <c r="AI59" s="2">
        <f t="shared" si="22"/>
        <v>177116.42918201914</v>
      </c>
      <c r="AJ59" s="2">
        <f t="shared" si="22"/>
        <v>177116.42918201914</v>
      </c>
      <c r="AK59" s="2">
        <f t="shared" si="22"/>
        <v>177116.42918201914</v>
      </c>
      <c r="AL59" s="2">
        <f t="shared" si="22"/>
        <v>177116.42918201914</v>
      </c>
      <c r="AM59" s="2">
        <f t="shared" si="22"/>
        <v>177116.42918201914</v>
      </c>
      <c r="AN59" s="2">
        <f t="shared" si="22"/>
        <v>132837.32188651437</v>
      </c>
    </row>
    <row r="60" spans="1:40" x14ac:dyDescent="0.25">
      <c r="B60" s="20"/>
      <c r="F60" s="2"/>
    </row>
    <row r="61" spans="1:40" x14ac:dyDescent="0.25">
      <c r="A61" s="48" t="s">
        <v>196</v>
      </c>
      <c r="B61" s="64">
        <f>C16</f>
        <v>1.01</v>
      </c>
      <c r="C61" s="63">
        <f>NPV($C$47, F61:AN61)</f>
        <v>44496628.24821578</v>
      </c>
      <c r="D61" s="63">
        <f>NPV($D$47, F61:AN61)</f>
        <v>22022150.307742991</v>
      </c>
      <c r="E61" s="63">
        <f>SUM(F61:AN61)</f>
        <v>81692001.019720003</v>
      </c>
      <c r="F61" s="63">
        <f t="shared" ref="F61:AM61" si="23">F49*$B$61</f>
        <v>0</v>
      </c>
      <c r="G61" s="63">
        <f t="shared" si="23"/>
        <v>0</v>
      </c>
      <c r="H61" s="63">
        <f t="shared" si="23"/>
        <v>0</v>
      </c>
      <c r="I61" s="63">
        <f t="shared" si="23"/>
        <v>0</v>
      </c>
      <c r="J61" s="63">
        <f t="shared" si="23"/>
        <v>0</v>
      </c>
      <c r="K61" s="63">
        <f t="shared" si="23"/>
        <v>447218.98368459835</v>
      </c>
      <c r="L61" s="63">
        <f t="shared" si="23"/>
        <v>1192583.9564922622</v>
      </c>
      <c r="M61" s="63">
        <f t="shared" si="23"/>
        <v>1788875.9347383934</v>
      </c>
      <c r="N61" s="63">
        <f t="shared" si="23"/>
        <v>2087021.9238614591</v>
      </c>
      <c r="O61" s="63">
        <f t="shared" si="23"/>
        <v>2385167.9129845244</v>
      </c>
      <c r="P61" s="63">
        <f t="shared" si="23"/>
        <v>2981459.8912306558</v>
      </c>
      <c r="Q61" s="63">
        <f t="shared" si="23"/>
        <v>2981459.8912306558</v>
      </c>
      <c r="R61" s="63">
        <f t="shared" si="23"/>
        <v>2981459.8912306558</v>
      </c>
      <c r="S61" s="63">
        <f t="shared" si="23"/>
        <v>2981459.8912306558</v>
      </c>
      <c r="T61" s="63">
        <f t="shared" si="23"/>
        <v>2981459.8912306558</v>
      </c>
      <c r="U61" s="63">
        <f t="shared" si="23"/>
        <v>2981459.8912306558</v>
      </c>
      <c r="V61" s="63">
        <f t="shared" si="23"/>
        <v>2981459.8912306558</v>
      </c>
      <c r="W61" s="63">
        <f t="shared" si="23"/>
        <v>2981459.8912306558</v>
      </c>
      <c r="X61" s="63">
        <f t="shared" si="23"/>
        <v>2981459.8912306558</v>
      </c>
      <c r="Y61" s="63">
        <f t="shared" si="23"/>
        <v>2981459.8912306558</v>
      </c>
      <c r="Z61" s="63">
        <f t="shared" si="23"/>
        <v>2981459.8912306558</v>
      </c>
      <c r="AA61" s="63">
        <f t="shared" si="23"/>
        <v>2981459.8912306558</v>
      </c>
      <c r="AB61" s="63">
        <f t="shared" si="23"/>
        <v>2981459.8912306558</v>
      </c>
      <c r="AC61" s="63">
        <f t="shared" si="23"/>
        <v>2981459.8912306558</v>
      </c>
      <c r="AD61" s="63">
        <f t="shared" si="23"/>
        <v>2981459.8912306558</v>
      </c>
      <c r="AE61" s="63">
        <f t="shared" si="23"/>
        <v>2981459.8912306558</v>
      </c>
      <c r="AF61" s="63">
        <f t="shared" si="23"/>
        <v>2981459.8912306558</v>
      </c>
      <c r="AG61" s="63">
        <f t="shared" si="23"/>
        <v>2981459.8912306558</v>
      </c>
      <c r="AH61" s="63">
        <f t="shared" si="23"/>
        <v>2981459.8912306558</v>
      </c>
      <c r="AI61" s="63">
        <f t="shared" si="23"/>
        <v>2981459.8912306558</v>
      </c>
      <c r="AJ61" s="63">
        <f t="shared" si="23"/>
        <v>2981459.8912306558</v>
      </c>
      <c r="AK61" s="63">
        <f t="shared" si="23"/>
        <v>2981459.8912306558</v>
      </c>
      <c r="AL61" s="63">
        <f t="shared" si="23"/>
        <v>2981459.8912306558</v>
      </c>
      <c r="AM61" s="63">
        <f t="shared" si="23"/>
        <v>2981459.8912306558</v>
      </c>
      <c r="AN61" s="63">
        <f t="shared" ref="AN61" si="24">AN49*$B$61</f>
        <v>2236094.9184229919</v>
      </c>
    </row>
    <row r="62" spans="1:40" x14ac:dyDescent="0.25">
      <c r="A62" s="48" t="s">
        <v>87</v>
      </c>
      <c r="B62" s="48"/>
      <c r="C62" s="63">
        <f>NPV($C$47, F62:AN62)</f>
        <v>6370406.092665921</v>
      </c>
      <c r="D62" s="63">
        <f>NPV($D$47, F62:AN62)</f>
        <v>3152824.0681848959</v>
      </c>
      <c r="E62" s="63">
        <f>SUM(F62:AN62)</f>
        <v>11695520.346285161</v>
      </c>
      <c r="F62" s="64">
        <f>(F49/$B$8)*$C$8</f>
        <v>0</v>
      </c>
      <c r="G62" s="64">
        <f>(G49/$B$8)*$C$8</f>
        <v>0</v>
      </c>
      <c r="H62" s="64">
        <f>(H49/$B$8)*$C$8</f>
        <v>0</v>
      </c>
      <c r="I62" s="64">
        <v>0</v>
      </c>
      <c r="J62" s="64">
        <f t="shared" ref="J62:AM62" si="25">(J49/$B$8)*$C$8</f>
        <v>0</v>
      </c>
      <c r="K62" s="64">
        <f t="shared" si="25"/>
        <v>64026.571238787379</v>
      </c>
      <c r="L62" s="64">
        <f t="shared" si="25"/>
        <v>170737.52330343303</v>
      </c>
      <c r="M62" s="64">
        <f t="shared" si="25"/>
        <v>256106.28495514952</v>
      </c>
      <c r="N62" s="64">
        <f t="shared" si="25"/>
        <v>298790.66578100779</v>
      </c>
      <c r="O62" s="64">
        <f t="shared" si="25"/>
        <v>341475.04660686606</v>
      </c>
      <c r="P62" s="64">
        <f t="shared" si="25"/>
        <v>426843.80825858255</v>
      </c>
      <c r="Q62" s="64">
        <f t="shared" si="25"/>
        <v>426843.80825858255</v>
      </c>
      <c r="R62" s="64">
        <f t="shared" si="25"/>
        <v>426843.80825858255</v>
      </c>
      <c r="S62" s="64">
        <f t="shared" si="25"/>
        <v>426843.80825858255</v>
      </c>
      <c r="T62" s="64">
        <f t="shared" si="25"/>
        <v>426843.80825858255</v>
      </c>
      <c r="U62" s="64">
        <f t="shared" si="25"/>
        <v>426843.80825858255</v>
      </c>
      <c r="V62" s="64">
        <f t="shared" si="25"/>
        <v>426843.80825858255</v>
      </c>
      <c r="W62" s="64">
        <f t="shared" si="25"/>
        <v>426843.80825858255</v>
      </c>
      <c r="X62" s="64">
        <f t="shared" si="25"/>
        <v>426843.80825858255</v>
      </c>
      <c r="Y62" s="64">
        <f t="shared" si="25"/>
        <v>426843.80825858255</v>
      </c>
      <c r="Z62" s="64">
        <f t="shared" si="25"/>
        <v>426843.80825858255</v>
      </c>
      <c r="AA62" s="64">
        <f t="shared" si="25"/>
        <v>426843.80825858255</v>
      </c>
      <c r="AB62" s="64">
        <f t="shared" si="25"/>
        <v>426843.80825858255</v>
      </c>
      <c r="AC62" s="64">
        <f t="shared" si="25"/>
        <v>426843.80825858255</v>
      </c>
      <c r="AD62" s="64">
        <f t="shared" si="25"/>
        <v>426843.80825858255</v>
      </c>
      <c r="AE62" s="64">
        <f t="shared" si="25"/>
        <v>426843.80825858255</v>
      </c>
      <c r="AF62" s="64">
        <f t="shared" si="25"/>
        <v>426843.80825858255</v>
      </c>
      <c r="AG62" s="64">
        <f t="shared" si="25"/>
        <v>426843.80825858255</v>
      </c>
      <c r="AH62" s="64">
        <f t="shared" si="25"/>
        <v>426843.80825858255</v>
      </c>
      <c r="AI62" s="64">
        <f t="shared" si="25"/>
        <v>426843.80825858255</v>
      </c>
      <c r="AJ62" s="64">
        <f t="shared" si="25"/>
        <v>426843.80825858255</v>
      </c>
      <c r="AK62" s="64">
        <f t="shared" si="25"/>
        <v>426843.80825858255</v>
      </c>
      <c r="AL62" s="64">
        <f t="shared" si="25"/>
        <v>426843.80825858255</v>
      </c>
      <c r="AM62" s="64">
        <f t="shared" si="25"/>
        <v>426843.80825858255</v>
      </c>
      <c r="AN62" s="64">
        <f t="shared" ref="AN62" si="26">(AN49/$B$8)*$C$8</f>
        <v>320132.85619393695</v>
      </c>
    </row>
    <row r="65" spans="1:40" x14ac:dyDescent="0.25">
      <c r="G65" t="s">
        <v>91</v>
      </c>
      <c r="H65" s="200">
        <f>SUM(I65:AN65)</f>
        <v>55.485854157948445</v>
      </c>
      <c r="I65" s="46">
        <f t="shared" ref="I65:AM65" si="27">I$49*$C27</f>
        <v>0</v>
      </c>
      <c r="J65" s="46">
        <f t="shared" si="27"/>
        <v>0</v>
      </c>
      <c r="K65" s="46">
        <f t="shared" si="27"/>
        <v>0.30375467604716289</v>
      </c>
      <c r="L65" s="46">
        <f t="shared" si="27"/>
        <v>0.81001246945910099</v>
      </c>
      <c r="M65" s="46">
        <f t="shared" si="27"/>
        <v>1.2150187041886515</v>
      </c>
      <c r="N65" s="46">
        <f t="shared" si="27"/>
        <v>1.4175218215534269</v>
      </c>
      <c r="O65" s="46">
        <f t="shared" si="27"/>
        <v>1.620024938918202</v>
      </c>
      <c r="P65" s="46">
        <f t="shared" si="27"/>
        <v>2.0250311736477524</v>
      </c>
      <c r="Q65" s="46">
        <f t="shared" si="27"/>
        <v>2.0250311736477524</v>
      </c>
      <c r="R65" s="46">
        <f t="shared" si="27"/>
        <v>2.0250311736477524</v>
      </c>
      <c r="S65" s="46">
        <f t="shared" si="27"/>
        <v>2.0250311736477524</v>
      </c>
      <c r="T65" s="46">
        <f t="shared" si="27"/>
        <v>2.0250311736477524</v>
      </c>
      <c r="U65" s="46">
        <f t="shared" si="27"/>
        <v>2.0250311736477524</v>
      </c>
      <c r="V65" s="46">
        <f t="shared" si="27"/>
        <v>2.0250311736477524</v>
      </c>
      <c r="W65" s="46">
        <f t="shared" si="27"/>
        <v>2.0250311736477524</v>
      </c>
      <c r="X65" s="46">
        <f t="shared" si="27"/>
        <v>2.0250311736477524</v>
      </c>
      <c r="Y65" s="46">
        <f t="shared" si="27"/>
        <v>2.0250311736477524</v>
      </c>
      <c r="Z65" s="46">
        <f t="shared" si="27"/>
        <v>2.0250311736477524</v>
      </c>
      <c r="AA65" s="46">
        <f t="shared" si="27"/>
        <v>2.0250311736477524</v>
      </c>
      <c r="AB65" s="46">
        <f t="shared" si="27"/>
        <v>2.0250311736477524</v>
      </c>
      <c r="AC65" s="46">
        <f t="shared" si="27"/>
        <v>2.0250311736477524</v>
      </c>
      <c r="AD65" s="46">
        <f t="shared" si="27"/>
        <v>2.0250311736477524</v>
      </c>
      <c r="AE65" s="46">
        <f t="shared" si="27"/>
        <v>2.0250311736477524</v>
      </c>
      <c r="AF65" s="46">
        <f t="shared" si="27"/>
        <v>2.0250311736477524</v>
      </c>
      <c r="AG65" s="46">
        <f t="shared" si="27"/>
        <v>2.0250311736477524</v>
      </c>
      <c r="AH65" s="46">
        <f t="shared" si="27"/>
        <v>2.0250311736477524</v>
      </c>
      <c r="AI65" s="46">
        <f t="shared" si="27"/>
        <v>2.0250311736477524</v>
      </c>
      <c r="AJ65" s="46">
        <f t="shared" si="27"/>
        <v>2.0250311736477524</v>
      </c>
      <c r="AK65" s="46">
        <f t="shared" si="27"/>
        <v>2.0250311736477524</v>
      </c>
      <c r="AL65" s="46">
        <f t="shared" si="27"/>
        <v>2.0250311736477524</v>
      </c>
      <c r="AM65" s="46">
        <f t="shared" si="27"/>
        <v>2.0250311736477524</v>
      </c>
      <c r="AN65" s="46">
        <f t="shared" ref="AN65" si="28">AN$49*$C27</f>
        <v>1.5187733802358145</v>
      </c>
    </row>
    <row r="66" spans="1:40" x14ac:dyDescent="0.25">
      <c r="B66" s="46"/>
      <c r="G66" t="s">
        <v>92</v>
      </c>
      <c r="H66" s="200">
        <f t="shared" ref="H66" si="29">SUM(I66:AM66)</f>
        <v>0</v>
      </c>
      <c r="I66" s="46">
        <f>I$49*$C28</f>
        <v>0</v>
      </c>
      <c r="J66" s="46">
        <f t="shared" ref="J66:AM68" si="30">J$49*$C28</f>
        <v>0</v>
      </c>
      <c r="K66" s="46">
        <f t="shared" si="30"/>
        <v>0</v>
      </c>
      <c r="L66" s="46">
        <f t="shared" si="30"/>
        <v>0</v>
      </c>
      <c r="M66" s="46">
        <f t="shared" si="30"/>
        <v>0</v>
      </c>
      <c r="N66" s="46">
        <f t="shared" si="30"/>
        <v>0</v>
      </c>
      <c r="O66" s="46">
        <f t="shared" si="30"/>
        <v>0</v>
      </c>
      <c r="P66" s="46">
        <f t="shared" si="30"/>
        <v>0</v>
      </c>
      <c r="Q66" s="46">
        <f t="shared" si="30"/>
        <v>0</v>
      </c>
      <c r="R66" s="46">
        <f t="shared" si="30"/>
        <v>0</v>
      </c>
      <c r="S66" s="46">
        <f t="shared" si="30"/>
        <v>0</v>
      </c>
      <c r="T66" s="46">
        <f t="shared" si="30"/>
        <v>0</v>
      </c>
      <c r="U66" s="46">
        <f t="shared" si="30"/>
        <v>0</v>
      </c>
      <c r="V66" s="46">
        <f t="shared" si="30"/>
        <v>0</v>
      </c>
      <c r="W66" s="46">
        <f t="shared" si="30"/>
        <v>0</v>
      </c>
      <c r="X66" s="46">
        <f t="shared" si="30"/>
        <v>0</v>
      </c>
      <c r="Y66" s="46">
        <f t="shared" si="30"/>
        <v>0</v>
      </c>
      <c r="Z66" s="46">
        <f t="shared" si="30"/>
        <v>0</v>
      </c>
      <c r="AA66" s="46">
        <f t="shared" si="30"/>
        <v>0</v>
      </c>
      <c r="AB66" s="46">
        <f t="shared" si="30"/>
        <v>0</v>
      </c>
      <c r="AC66" s="46">
        <f t="shared" si="30"/>
        <v>0</v>
      </c>
      <c r="AD66" s="46">
        <f t="shared" si="30"/>
        <v>0</v>
      </c>
      <c r="AE66" s="46">
        <f t="shared" si="30"/>
        <v>0</v>
      </c>
      <c r="AF66" s="46">
        <f t="shared" si="30"/>
        <v>0</v>
      </c>
      <c r="AG66" s="46">
        <f t="shared" si="30"/>
        <v>0</v>
      </c>
      <c r="AH66" s="46">
        <f t="shared" si="30"/>
        <v>0</v>
      </c>
      <c r="AI66" s="46">
        <f t="shared" si="30"/>
        <v>0</v>
      </c>
      <c r="AJ66" s="46">
        <f t="shared" si="30"/>
        <v>0</v>
      </c>
      <c r="AK66" s="46">
        <f t="shared" si="30"/>
        <v>0</v>
      </c>
      <c r="AL66" s="46">
        <f t="shared" si="30"/>
        <v>0</v>
      </c>
      <c r="AM66" s="46">
        <f t="shared" si="30"/>
        <v>0</v>
      </c>
      <c r="AN66" s="46">
        <f t="shared" ref="AN66" si="31">AN$49*$C28</f>
        <v>0</v>
      </c>
    </row>
    <row r="67" spans="1:40" x14ac:dyDescent="0.25">
      <c r="B67" s="9"/>
      <c r="G67" t="s">
        <v>93</v>
      </c>
      <c r="H67" s="200">
        <f>SUM(I67:AN67)</f>
        <v>32676.800407887971</v>
      </c>
      <c r="I67" s="46">
        <f t="shared" ref="I67:X68" si="32">I$49*$C29</f>
        <v>0</v>
      </c>
      <c r="J67" s="46">
        <f t="shared" si="32"/>
        <v>0</v>
      </c>
      <c r="K67" s="46">
        <f t="shared" si="32"/>
        <v>178.88759347383936</v>
      </c>
      <c r="L67" s="46">
        <f t="shared" si="32"/>
        <v>477.03358259690492</v>
      </c>
      <c r="M67" s="46">
        <f t="shared" si="32"/>
        <v>715.55037389535744</v>
      </c>
      <c r="N67" s="46">
        <f t="shared" si="32"/>
        <v>834.8087695445837</v>
      </c>
      <c r="O67" s="46">
        <f t="shared" si="32"/>
        <v>954.06716519380984</v>
      </c>
      <c r="P67" s="46">
        <f t="shared" si="32"/>
        <v>1192.5839564922624</v>
      </c>
      <c r="Q67" s="46">
        <f t="shared" si="32"/>
        <v>1192.5839564922624</v>
      </c>
      <c r="R67" s="46">
        <f t="shared" si="32"/>
        <v>1192.5839564922624</v>
      </c>
      <c r="S67" s="46">
        <f t="shared" si="32"/>
        <v>1192.5839564922624</v>
      </c>
      <c r="T67" s="46">
        <f t="shared" si="32"/>
        <v>1192.5839564922624</v>
      </c>
      <c r="U67" s="46">
        <f t="shared" si="32"/>
        <v>1192.5839564922624</v>
      </c>
      <c r="V67" s="46">
        <f t="shared" si="32"/>
        <v>1192.5839564922624</v>
      </c>
      <c r="W67" s="46">
        <f t="shared" si="32"/>
        <v>1192.5839564922624</v>
      </c>
      <c r="X67" s="46">
        <f t="shared" si="32"/>
        <v>1192.5839564922624</v>
      </c>
      <c r="Y67" s="46">
        <f t="shared" si="30"/>
        <v>1192.5839564922624</v>
      </c>
      <c r="Z67" s="46">
        <f t="shared" si="30"/>
        <v>1192.5839564922624</v>
      </c>
      <c r="AA67" s="46">
        <f t="shared" si="30"/>
        <v>1192.5839564922624</v>
      </c>
      <c r="AB67" s="46">
        <f t="shared" si="30"/>
        <v>1192.5839564922624</v>
      </c>
      <c r="AC67" s="46">
        <f t="shared" si="30"/>
        <v>1192.5839564922624</v>
      </c>
      <c r="AD67" s="46">
        <f t="shared" si="30"/>
        <v>1192.5839564922624</v>
      </c>
      <c r="AE67" s="46">
        <f t="shared" si="30"/>
        <v>1192.5839564922624</v>
      </c>
      <c r="AF67" s="46">
        <f t="shared" si="30"/>
        <v>1192.5839564922624</v>
      </c>
      <c r="AG67" s="46">
        <f t="shared" si="30"/>
        <v>1192.5839564922624</v>
      </c>
      <c r="AH67" s="46">
        <f t="shared" si="30"/>
        <v>1192.5839564922624</v>
      </c>
      <c r="AI67" s="46">
        <f t="shared" si="30"/>
        <v>1192.5839564922624</v>
      </c>
      <c r="AJ67" s="46">
        <f t="shared" si="30"/>
        <v>1192.5839564922624</v>
      </c>
      <c r="AK67" s="46">
        <f t="shared" si="30"/>
        <v>1192.5839564922624</v>
      </c>
      <c r="AL67" s="46">
        <f t="shared" si="30"/>
        <v>1192.5839564922624</v>
      </c>
      <c r="AM67" s="46">
        <f t="shared" si="30"/>
        <v>1192.5839564922624</v>
      </c>
      <c r="AN67" s="46">
        <f t="shared" ref="AN67" si="33">AN$49*$C29</f>
        <v>894.43796736919683</v>
      </c>
    </row>
    <row r="68" spans="1:40" x14ac:dyDescent="0.25">
      <c r="B68" s="9"/>
      <c r="G68" t="s">
        <v>94</v>
      </c>
      <c r="H68" s="200">
        <f>SUM(I68:AN68)</f>
        <v>1.6176633865291092</v>
      </c>
      <c r="I68" s="46">
        <f t="shared" si="32"/>
        <v>0</v>
      </c>
      <c r="J68" s="46">
        <f t="shared" si="30"/>
        <v>0</v>
      </c>
      <c r="K68" s="46">
        <f t="shared" si="30"/>
        <v>8.8558214591009585E-3</v>
      </c>
      <c r="L68" s="46">
        <f t="shared" si="30"/>
        <v>2.3615523890935887E-2</v>
      </c>
      <c r="M68" s="46">
        <f t="shared" si="30"/>
        <v>3.5423285836403834E-2</v>
      </c>
      <c r="N68" s="46">
        <f t="shared" si="30"/>
        <v>4.1327166809137804E-2</v>
      </c>
      <c r="O68" s="46">
        <f t="shared" si="30"/>
        <v>4.7231047781871774E-2</v>
      </c>
      <c r="P68" s="46">
        <f t="shared" si="30"/>
        <v>5.9038809727339721E-2</v>
      </c>
      <c r="Q68" s="46">
        <f t="shared" si="30"/>
        <v>5.9038809727339721E-2</v>
      </c>
      <c r="R68" s="46">
        <f t="shared" si="30"/>
        <v>5.9038809727339721E-2</v>
      </c>
      <c r="S68" s="46">
        <f t="shared" si="30"/>
        <v>5.9038809727339721E-2</v>
      </c>
      <c r="T68" s="46">
        <f t="shared" si="30"/>
        <v>5.9038809727339721E-2</v>
      </c>
      <c r="U68" s="46">
        <f t="shared" si="30"/>
        <v>5.9038809727339721E-2</v>
      </c>
      <c r="V68" s="46">
        <f t="shared" si="30"/>
        <v>5.9038809727339721E-2</v>
      </c>
      <c r="W68" s="46">
        <f t="shared" si="30"/>
        <v>5.9038809727339721E-2</v>
      </c>
      <c r="X68" s="46">
        <f t="shared" si="30"/>
        <v>5.9038809727339721E-2</v>
      </c>
      <c r="Y68" s="46">
        <f t="shared" si="30"/>
        <v>5.9038809727339721E-2</v>
      </c>
      <c r="Z68" s="46">
        <f t="shared" si="30"/>
        <v>5.9038809727339721E-2</v>
      </c>
      <c r="AA68" s="46">
        <f t="shared" si="30"/>
        <v>5.9038809727339721E-2</v>
      </c>
      <c r="AB68" s="46">
        <f t="shared" si="30"/>
        <v>5.9038809727339721E-2</v>
      </c>
      <c r="AC68" s="46">
        <f t="shared" si="30"/>
        <v>5.9038809727339721E-2</v>
      </c>
      <c r="AD68" s="46">
        <f t="shared" si="30"/>
        <v>5.9038809727339721E-2</v>
      </c>
      <c r="AE68" s="46">
        <f t="shared" si="30"/>
        <v>5.9038809727339721E-2</v>
      </c>
      <c r="AF68" s="46">
        <f t="shared" si="30"/>
        <v>5.9038809727339721E-2</v>
      </c>
      <c r="AG68" s="46">
        <f t="shared" si="30"/>
        <v>5.9038809727339721E-2</v>
      </c>
      <c r="AH68" s="46">
        <f t="shared" si="30"/>
        <v>5.9038809727339721E-2</v>
      </c>
      <c r="AI68" s="46">
        <f t="shared" si="30"/>
        <v>5.9038809727339721E-2</v>
      </c>
      <c r="AJ68" s="46">
        <f t="shared" si="30"/>
        <v>5.9038809727339721E-2</v>
      </c>
      <c r="AK68" s="46">
        <f t="shared" si="30"/>
        <v>5.9038809727339721E-2</v>
      </c>
      <c r="AL68" s="46">
        <f t="shared" si="30"/>
        <v>5.9038809727339721E-2</v>
      </c>
      <c r="AM68" s="46">
        <f t="shared" si="30"/>
        <v>5.9038809727339721E-2</v>
      </c>
      <c r="AN68" s="46">
        <f t="shared" ref="AN68" si="34">AN$49*$C30</f>
        <v>4.4279107295504792E-2</v>
      </c>
    </row>
    <row r="69" spans="1:40" x14ac:dyDescent="0.25">
      <c r="B69" s="9"/>
    </row>
    <row r="70" spans="1:40" x14ac:dyDescent="0.25">
      <c r="B70" s="9"/>
      <c r="H70" s="200">
        <f>H65+'Traffic_Reduced port VMT'!E49</f>
        <v>55.732882963241991</v>
      </c>
    </row>
    <row r="71" spans="1:40" x14ac:dyDescent="0.25">
      <c r="B71" s="9"/>
      <c r="H71" s="200">
        <f>H66+'Traffic_Reduced port VMT'!E50</f>
        <v>0</v>
      </c>
    </row>
    <row r="72" spans="1:40" x14ac:dyDescent="0.25">
      <c r="B72" s="9"/>
      <c r="H72" s="200">
        <f>H67+'Traffic_Reduced port VMT'!E51</f>
        <v>32822.280928789711</v>
      </c>
    </row>
    <row r="73" spans="1:40" x14ac:dyDescent="0.25">
      <c r="B73" s="9"/>
      <c r="H73" s="200">
        <f>H68+'Traffic_Reduced port VMT'!E52</f>
        <v>1.6248653925143439</v>
      </c>
    </row>
    <row r="74" spans="1:40" x14ac:dyDescent="0.25">
      <c r="B74" s="9"/>
    </row>
    <row r="75" spans="1:40" s="116" customFormat="1" x14ac:dyDescent="0.25">
      <c r="A75" s="116" t="s">
        <v>197</v>
      </c>
      <c r="B75" s="117">
        <f>'project benefits_PAMT_pubbridge'!$C$16</f>
        <v>296.22008474576268</v>
      </c>
      <c r="C75" s="118">
        <f>NPV($C$47, F75:AM75)</f>
        <v>113700009.28551863</v>
      </c>
      <c r="D75" s="118">
        <f>NPV($D$47, F75:AM75)</f>
        <v>59191079.922636069</v>
      </c>
      <c r="E75" s="118">
        <f>SUM(F75:AM75)</f>
        <v>201281547.58474568</v>
      </c>
      <c r="F75" s="116">
        <v>0</v>
      </c>
      <c r="G75" s="116">
        <v>0</v>
      </c>
      <c r="H75" s="116">
        <v>0</v>
      </c>
      <c r="I75" s="116">
        <v>0</v>
      </c>
      <c r="J75" s="119">
        <f>'project benefits_PAMT_pubbridge'!E7*$B$75</f>
        <v>1332990.381355932</v>
      </c>
      <c r="K75" s="119">
        <f>'project benefits_PAMT_pubbridge'!E8*$B$75</f>
        <v>3554641.0169491521</v>
      </c>
      <c r="L75" s="119">
        <f>'project benefits_PAMT_pubbridge'!E9*B75</f>
        <v>5331961.5254237279</v>
      </c>
      <c r="M75" s="119">
        <f>'project benefits_PAMT_pubbridge'!E10*$B$75</f>
        <v>6220621.7796610165</v>
      </c>
      <c r="N75" s="119">
        <f>'project benefits_PAMT_pubbridge'!E11*$B$75</f>
        <v>7109282.0338983042</v>
      </c>
      <c r="O75" s="119">
        <f>N75</f>
        <v>7109282.0338983042</v>
      </c>
      <c r="P75" s="119">
        <f t="shared" ref="P75:AM75" si="35">O75</f>
        <v>7109282.0338983042</v>
      </c>
      <c r="Q75" s="119">
        <f t="shared" si="35"/>
        <v>7109282.0338983042</v>
      </c>
      <c r="R75" s="119">
        <f t="shared" si="35"/>
        <v>7109282.0338983042</v>
      </c>
      <c r="S75" s="119">
        <f t="shared" si="35"/>
        <v>7109282.0338983042</v>
      </c>
      <c r="T75" s="119">
        <f t="shared" si="35"/>
        <v>7109282.0338983042</v>
      </c>
      <c r="U75" s="119">
        <f t="shared" si="35"/>
        <v>7109282.0338983042</v>
      </c>
      <c r="V75" s="119">
        <f t="shared" si="35"/>
        <v>7109282.0338983042</v>
      </c>
      <c r="W75" s="119">
        <f t="shared" si="35"/>
        <v>7109282.0338983042</v>
      </c>
      <c r="X75" s="119">
        <f t="shared" si="35"/>
        <v>7109282.0338983042</v>
      </c>
      <c r="Y75" s="119">
        <f t="shared" si="35"/>
        <v>7109282.0338983042</v>
      </c>
      <c r="Z75" s="119">
        <f t="shared" si="35"/>
        <v>7109282.0338983042</v>
      </c>
      <c r="AA75" s="119">
        <f t="shared" si="35"/>
        <v>7109282.0338983042</v>
      </c>
      <c r="AB75" s="119">
        <f t="shared" si="35"/>
        <v>7109282.0338983042</v>
      </c>
      <c r="AC75" s="119">
        <f t="shared" si="35"/>
        <v>7109282.0338983042</v>
      </c>
      <c r="AD75" s="119">
        <f t="shared" si="35"/>
        <v>7109282.0338983042</v>
      </c>
      <c r="AE75" s="119">
        <f t="shared" si="35"/>
        <v>7109282.0338983042</v>
      </c>
      <c r="AF75" s="119">
        <f t="shared" si="35"/>
        <v>7109282.0338983042</v>
      </c>
      <c r="AG75" s="119">
        <f t="shared" si="35"/>
        <v>7109282.0338983042</v>
      </c>
      <c r="AH75" s="119">
        <f t="shared" si="35"/>
        <v>7109282.0338983042</v>
      </c>
      <c r="AI75" s="119">
        <f t="shared" si="35"/>
        <v>7109282.0338983042</v>
      </c>
      <c r="AJ75" s="119">
        <f t="shared" si="35"/>
        <v>7109282.0338983042</v>
      </c>
      <c r="AK75" s="119">
        <f t="shared" si="35"/>
        <v>7109282.0338983042</v>
      </c>
      <c r="AL75" s="119">
        <f t="shared" si="35"/>
        <v>7109282.0338983042</v>
      </c>
      <c r="AM75" s="119">
        <f t="shared" si="35"/>
        <v>7109282.0338983042</v>
      </c>
    </row>
    <row r="76" spans="1:40" x14ac:dyDescent="0.25">
      <c r="B76" s="9"/>
    </row>
  </sheetData>
  <hyperlinks>
    <hyperlink ref="C42" r:id="rId1" xr:uid="{48FB1AF1-15FD-4DA0-95BD-BD6C4CC1D813}"/>
  </hyperlinks>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2E614-196F-4AB5-8F7B-800AD4F23A3D}">
  <sheetPr>
    <tabColor theme="5" tint="0.79998168889431442"/>
  </sheetPr>
  <dimension ref="A1:AU30"/>
  <sheetViews>
    <sheetView workbookViewId="0">
      <selection activeCell="E13" sqref="E13"/>
    </sheetView>
  </sheetViews>
  <sheetFormatPr defaultRowHeight="15" x14ac:dyDescent="0.25"/>
  <cols>
    <col min="1" max="1" width="45" customWidth="1"/>
    <col min="2" max="2" width="19.5703125" bestFit="1" customWidth="1"/>
    <col min="3" max="4" width="19.5703125" customWidth="1"/>
    <col min="5" max="5" width="14.7109375" bestFit="1" customWidth="1"/>
    <col min="17" max="17" width="14.42578125" customWidth="1"/>
  </cols>
  <sheetData>
    <row r="1" spans="1:47" x14ac:dyDescent="0.25">
      <c r="A1" t="s">
        <v>198</v>
      </c>
    </row>
    <row r="3" spans="1:47" x14ac:dyDescent="0.25">
      <c r="A3" t="s">
        <v>177</v>
      </c>
    </row>
    <row r="5" spans="1:47" x14ac:dyDescent="0.25">
      <c r="A5" t="s">
        <v>199</v>
      </c>
    </row>
    <row r="6" spans="1:47" x14ac:dyDescent="0.25">
      <c r="A6" s="151">
        <f>'BCA Values'!B6</f>
        <v>16600</v>
      </c>
      <c r="B6" t="s">
        <v>91</v>
      </c>
    </row>
    <row r="7" spans="1:47" x14ac:dyDescent="0.25">
      <c r="A7" s="151">
        <f>'BCA Values'!E6</f>
        <v>56</v>
      </c>
      <c r="B7" t="s">
        <v>93</v>
      </c>
    </row>
    <row r="8" spans="1:47" x14ac:dyDescent="0.25">
      <c r="A8" s="151">
        <f>'BCA Values'!D6</f>
        <v>796700</v>
      </c>
      <c r="B8" t="s">
        <v>94</v>
      </c>
    </row>
    <row r="9" spans="1:47" x14ac:dyDescent="0.25">
      <c r="A9" s="21"/>
      <c r="B9" s="12"/>
      <c r="C9" s="12"/>
      <c r="D9" s="12"/>
    </row>
    <row r="11" spans="1:47" x14ac:dyDescent="0.25">
      <c r="A11" s="12" t="s">
        <v>200</v>
      </c>
      <c r="E11">
        <v>1</v>
      </c>
      <c r="F11">
        <f>E11+1</f>
        <v>2</v>
      </c>
      <c r="G11">
        <f t="shared" ref="G11:AH11" si="0">F11+1</f>
        <v>3</v>
      </c>
      <c r="H11">
        <f t="shared" si="0"/>
        <v>4</v>
      </c>
      <c r="I11">
        <f t="shared" si="0"/>
        <v>5</v>
      </c>
      <c r="J11">
        <f t="shared" si="0"/>
        <v>6</v>
      </c>
      <c r="K11">
        <f t="shared" si="0"/>
        <v>7</v>
      </c>
      <c r="L11">
        <f t="shared" si="0"/>
        <v>8</v>
      </c>
      <c r="M11">
        <f t="shared" si="0"/>
        <v>9</v>
      </c>
      <c r="N11">
        <f t="shared" si="0"/>
        <v>10</v>
      </c>
      <c r="O11">
        <f t="shared" si="0"/>
        <v>11</v>
      </c>
      <c r="P11">
        <f t="shared" si="0"/>
        <v>12</v>
      </c>
      <c r="Q11">
        <f t="shared" si="0"/>
        <v>13</v>
      </c>
      <c r="R11">
        <f t="shared" si="0"/>
        <v>14</v>
      </c>
      <c r="S11">
        <f t="shared" si="0"/>
        <v>15</v>
      </c>
      <c r="T11">
        <f t="shared" si="0"/>
        <v>16</v>
      </c>
      <c r="U11">
        <f t="shared" si="0"/>
        <v>17</v>
      </c>
      <c r="V11">
        <f t="shared" si="0"/>
        <v>18</v>
      </c>
      <c r="W11">
        <f t="shared" si="0"/>
        <v>19</v>
      </c>
      <c r="X11">
        <f t="shared" si="0"/>
        <v>20</v>
      </c>
      <c r="Y11">
        <f>X11+1</f>
        <v>21</v>
      </c>
      <c r="Z11">
        <f t="shared" si="0"/>
        <v>22</v>
      </c>
      <c r="AA11">
        <f t="shared" si="0"/>
        <v>23</v>
      </c>
      <c r="AB11">
        <f t="shared" si="0"/>
        <v>24</v>
      </c>
      <c r="AC11">
        <f t="shared" si="0"/>
        <v>25</v>
      </c>
      <c r="AD11">
        <f t="shared" si="0"/>
        <v>26</v>
      </c>
      <c r="AE11">
        <f t="shared" si="0"/>
        <v>27</v>
      </c>
      <c r="AF11">
        <f t="shared" si="0"/>
        <v>28</v>
      </c>
      <c r="AG11">
        <f t="shared" si="0"/>
        <v>29</v>
      </c>
      <c r="AH11">
        <f t="shared" si="0"/>
        <v>30</v>
      </c>
      <c r="AI11">
        <f>AH11+1</f>
        <v>31</v>
      </c>
    </row>
    <row r="12" spans="1:47" x14ac:dyDescent="0.25">
      <c r="A12" s="8" t="s">
        <v>179</v>
      </c>
      <c r="B12" s="8"/>
      <c r="C12" s="8"/>
      <c r="D12" s="8">
        <v>2025</v>
      </c>
      <c r="E12" s="8">
        <v>2026</v>
      </c>
      <c r="F12" s="8">
        <v>2027</v>
      </c>
      <c r="G12" s="8">
        <v>2028</v>
      </c>
      <c r="H12" s="8">
        <v>2029</v>
      </c>
      <c r="I12" s="8">
        <v>2030</v>
      </c>
      <c r="J12" s="8">
        <v>2031</v>
      </c>
      <c r="K12" s="8">
        <v>2032</v>
      </c>
      <c r="L12" s="8">
        <v>2033</v>
      </c>
      <c r="M12" s="8">
        <v>2034</v>
      </c>
      <c r="N12" s="8">
        <v>2035</v>
      </c>
      <c r="O12" s="8">
        <v>2036</v>
      </c>
      <c r="P12" s="8">
        <v>2037</v>
      </c>
      <c r="Q12" s="8">
        <v>2038</v>
      </c>
      <c r="R12" s="8">
        <v>2039</v>
      </c>
      <c r="S12" s="8">
        <v>2040</v>
      </c>
      <c r="T12" s="8">
        <v>2041</v>
      </c>
      <c r="U12" s="8">
        <v>2042</v>
      </c>
      <c r="V12" s="8">
        <v>2043</v>
      </c>
      <c r="W12" s="8">
        <v>2044</v>
      </c>
      <c r="X12" s="8">
        <v>2045</v>
      </c>
      <c r="Y12" s="8">
        <v>2046</v>
      </c>
      <c r="Z12" s="8">
        <v>2047</v>
      </c>
      <c r="AA12" s="8">
        <v>2048</v>
      </c>
      <c r="AB12" s="8">
        <v>2049</v>
      </c>
      <c r="AC12" s="8">
        <v>2050</v>
      </c>
      <c r="AD12" s="8">
        <v>2051</v>
      </c>
      <c r="AE12" s="8">
        <v>2052</v>
      </c>
      <c r="AF12" s="8">
        <v>2053</v>
      </c>
      <c r="AG12" s="8">
        <v>2054</v>
      </c>
      <c r="AH12" s="8">
        <v>2055</v>
      </c>
      <c r="AI12" s="8">
        <v>2056</v>
      </c>
      <c r="AJ12" s="8"/>
      <c r="AK12" s="8"/>
      <c r="AL12" s="8"/>
      <c r="AM12" s="8"/>
      <c r="AN12" s="8"/>
      <c r="AO12" s="8"/>
      <c r="AP12" s="12"/>
      <c r="AQ12" s="12"/>
      <c r="AR12" s="12"/>
      <c r="AS12" s="12"/>
      <c r="AT12" s="12"/>
      <c r="AU12" s="12"/>
    </row>
    <row r="13" spans="1:47" x14ac:dyDescent="0.25">
      <c r="A13" t="s">
        <v>201</v>
      </c>
      <c r="B13" t="s">
        <v>91</v>
      </c>
      <c r="C13">
        <f>SUM(D13:AI13)</f>
        <v>652.19403959201486</v>
      </c>
      <c r="D13">
        <v>0</v>
      </c>
      <c r="E13" s="46">
        <f>(INDEX(Emissions!$D$15:$AJ$15,MATCH('Air Quality'!E12, Emissions!$D$13:$AJ$13,0)))*0.25</f>
        <v>5.4733211566001243</v>
      </c>
      <c r="F13">
        <f>INDEX(Emissions!$D$15:$AJ$15,MATCH('Air Quality'!F12, Emissions!$D$13:$AJ$13,0))</f>
        <v>21.765873426400496</v>
      </c>
      <c r="G13">
        <f>INDEX(Emissions!$D$15:$AJ$15,MATCH('Air Quality'!G12, Emissions!$D$13:$AJ$13,0))</f>
        <v>21.737559826400496</v>
      </c>
      <c r="H13">
        <f>INDEX(Emissions!$D$15:$AJ$15,MATCH('Air Quality'!H12, Emissions!$D$13:$AJ$13,0))</f>
        <v>21.737559826400496</v>
      </c>
      <c r="I13">
        <f>INDEX(Emissions!$D$15:$AJ$15,MATCH('Air Quality'!I12, Emissions!$D$13:$AJ$13,0))</f>
        <v>21.737559826400496</v>
      </c>
      <c r="J13">
        <f>INDEX(Emissions!$D$15:$AJ$15,MATCH('Air Quality'!J12, Emissions!$D$13:$AJ$13,0))</f>
        <v>21.737559826400496</v>
      </c>
      <c r="K13">
        <f>INDEX(Emissions!$D$15:$AJ$15,MATCH('Air Quality'!K12, Emissions!$D$13:$AJ$13,0))</f>
        <v>21.737559826400496</v>
      </c>
      <c r="L13">
        <f>INDEX(Emissions!$D$15:$AJ$15,MATCH('Air Quality'!L12, Emissions!$D$13:$AJ$13,0))</f>
        <v>21.737559826400496</v>
      </c>
      <c r="M13">
        <f>INDEX(Emissions!$D$15:$AJ$15,MATCH('Air Quality'!M12, Emissions!$D$13:$AJ$13,0))</f>
        <v>21.737559826400496</v>
      </c>
      <c r="N13">
        <f>INDEX(Emissions!$D$15:$AJ$15,MATCH('Air Quality'!N12, Emissions!$D$13:$AJ$13,0))</f>
        <v>21.737559826400496</v>
      </c>
      <c r="O13">
        <f>INDEX(Emissions!$D$15:$AJ$15,MATCH('Air Quality'!O12, Emissions!$D$13:$AJ$13,0))</f>
        <v>21.737559826400496</v>
      </c>
      <c r="P13">
        <f>INDEX(Emissions!$D$15:$AJ$15,MATCH('Air Quality'!P12, Emissions!$D$13:$AJ$13,0))</f>
        <v>21.737559826400496</v>
      </c>
      <c r="Q13">
        <f>INDEX(Emissions!$D$15:$AJ$15,MATCH('Air Quality'!Q12, Emissions!$D$13:$AJ$13,0))</f>
        <v>21.737559826400496</v>
      </c>
      <c r="R13">
        <f>INDEX(Emissions!$D$15:$AJ$15,MATCH('Air Quality'!R12, Emissions!$D$13:$AJ$13,0))</f>
        <v>21.737559826400496</v>
      </c>
      <c r="S13">
        <f>INDEX(Emissions!$D$15:$AJ$15,MATCH('Air Quality'!S12, Emissions!$D$13:$AJ$13,0))</f>
        <v>21.737559826400496</v>
      </c>
      <c r="T13">
        <f>INDEX(Emissions!$D$15:$AJ$15,MATCH('Air Quality'!T12, Emissions!$D$13:$AJ$13,0))</f>
        <v>21.737559826400496</v>
      </c>
      <c r="U13">
        <f>INDEX(Emissions!$D$15:$AJ$15,MATCH('Air Quality'!U12, Emissions!$D$13:$AJ$13,0))</f>
        <v>21.737559826400496</v>
      </c>
      <c r="V13">
        <f>INDEX(Emissions!$D$15:$AJ$15,MATCH('Air Quality'!V12, Emissions!$D$13:$AJ$13,0))</f>
        <v>21.737559826400496</v>
      </c>
      <c r="W13">
        <f>INDEX(Emissions!$D$15:$AJ$15,MATCH('Air Quality'!W12, Emissions!$D$13:$AJ$13,0))</f>
        <v>21.737559826400496</v>
      </c>
      <c r="X13">
        <f>INDEX(Emissions!$D$15:$AJ$15,MATCH('Air Quality'!X12, Emissions!$D$13:$AJ$13,0))</f>
        <v>21.737559826400496</v>
      </c>
      <c r="Y13">
        <f>INDEX(Emissions!$D$15:$AJ$15,MATCH('Air Quality'!Y12, Emissions!$D$13:$AJ$13,0))</f>
        <v>21.737559826400496</v>
      </c>
      <c r="Z13">
        <f>INDEX(Emissions!$D$15:$AJ$15,MATCH('Air Quality'!Z12, Emissions!$D$13:$AJ$13,0))</f>
        <v>21.737559826400496</v>
      </c>
      <c r="AA13">
        <f>INDEX(Emissions!$D$15:$AJ$15,MATCH('Air Quality'!AA12, Emissions!$D$13:$AJ$13,0))</f>
        <v>21.737559826400496</v>
      </c>
      <c r="AB13">
        <f>INDEX(Emissions!$D$15:$AJ$15,MATCH('Air Quality'!AB12, Emissions!$D$13:$AJ$13,0))</f>
        <v>21.737559826400496</v>
      </c>
      <c r="AC13">
        <f>INDEX(Emissions!$D$15:$AJ$15,MATCH('Air Quality'!AC12, Emissions!$D$13:$AJ$13,0))</f>
        <v>21.737559826400496</v>
      </c>
      <c r="AD13">
        <f>INDEX(Emissions!$D$15:$AJ$15,MATCH('Air Quality'!AD12, Emissions!$D$13:$AJ$13,0))</f>
        <v>21.737559826400496</v>
      </c>
      <c r="AE13">
        <f>INDEX(Emissions!$D$15:$AJ$15,MATCH('Air Quality'!AE12, Emissions!$D$13:$AJ$13,0))</f>
        <v>21.737559826400496</v>
      </c>
      <c r="AF13">
        <f>INDEX(Emissions!$D$15:$AJ$15,MATCH('Air Quality'!AF12, Emissions!$D$13:$AJ$13,0))</f>
        <v>21.737559826400496</v>
      </c>
      <c r="AG13">
        <f>INDEX(Emissions!$D$15:$AJ$15,MATCH('Air Quality'!AG12, Emissions!$D$13:$AJ$13,0))</f>
        <v>21.737559826400496</v>
      </c>
      <c r="AH13">
        <f>AG13</f>
        <v>21.737559826400496</v>
      </c>
      <c r="AI13">
        <f>AH13*0.75</f>
        <v>16.303169869800371</v>
      </c>
    </row>
    <row r="14" spans="1:47" x14ac:dyDescent="0.25">
      <c r="A14" t="s">
        <v>201</v>
      </c>
      <c r="B14" t="s">
        <v>93</v>
      </c>
      <c r="C14">
        <f>SUM(D14:AI14)</f>
        <v>2301.8600734726147</v>
      </c>
      <c r="D14">
        <v>0</v>
      </c>
      <c r="E14" s="46">
        <f>(INDEX(Emissions!$D$26:$AJ$26,MATCH('Air Quality'!E12, Emissions!$D$13:$AJ$13,0)))*0.25</f>
        <v>19.447142577755116</v>
      </c>
      <c r="F14">
        <f>INDEX(Emissions!$D$26:$AJ$26,MATCH('Air Quality'!F12, Emissions!$D$13:$AJ$13,0))</f>
        <v>76.908713823020449</v>
      </c>
      <c r="G14">
        <f>INDEX(Emissions!$D$26:$AJ$26,MATCH('Air Quality'!G12, Emissions!$D$13:$AJ$13,0))</f>
        <v>76.713190159020456</v>
      </c>
      <c r="H14">
        <f>INDEX(Emissions!$D$26:$AJ$26,MATCH('Air Quality'!H12, Emissions!$D$13:$AJ$13,0))</f>
        <v>76.713190159020456</v>
      </c>
      <c r="I14">
        <f>INDEX(Emissions!$D$26:$AJ$26,MATCH('Air Quality'!I12, Emissions!$D$13:$AJ$13,0))</f>
        <v>76.713190159020456</v>
      </c>
      <c r="J14">
        <f>INDEX(Emissions!$D$26:$AJ$26,MATCH('Air Quality'!J12, Emissions!$D$13:$AJ$13,0))</f>
        <v>76.713190159020456</v>
      </c>
      <c r="K14">
        <f>INDEX(Emissions!$D$26:$AJ$26,MATCH('Air Quality'!K12, Emissions!$D$13:$AJ$13,0))</f>
        <v>76.713190159020456</v>
      </c>
      <c r="L14">
        <f>INDEX(Emissions!$D$26:$AJ$26,MATCH('Air Quality'!L12, Emissions!$D$13:$AJ$13,0))</f>
        <v>76.713190159020456</v>
      </c>
      <c r="M14">
        <f>INDEX(Emissions!$D$26:$AJ$26,MATCH('Air Quality'!M12, Emissions!$D$13:$AJ$13,0))</f>
        <v>76.713190159020456</v>
      </c>
      <c r="N14">
        <f>INDEX(Emissions!$D$26:$AJ$26,MATCH('Air Quality'!N12, Emissions!$D$13:$AJ$13,0))</f>
        <v>76.713190159020456</v>
      </c>
      <c r="O14">
        <f>INDEX(Emissions!$D$26:$AJ$26,MATCH('Air Quality'!O12, Emissions!$D$13:$AJ$13,0))</f>
        <v>76.713190159020456</v>
      </c>
      <c r="P14">
        <f>INDEX(Emissions!$D$26:$AJ$26,MATCH('Air Quality'!P12, Emissions!$D$13:$AJ$13,0))</f>
        <v>76.713190159020456</v>
      </c>
      <c r="Q14">
        <f>INDEX(Emissions!$D$26:$AJ$26,MATCH('Air Quality'!Q12, Emissions!$D$13:$AJ$13,0))</f>
        <v>76.713190159020456</v>
      </c>
      <c r="R14">
        <f>INDEX(Emissions!$D$26:$AJ$26,MATCH('Air Quality'!R12, Emissions!$D$13:$AJ$13,0))</f>
        <v>76.713190159020456</v>
      </c>
      <c r="S14">
        <f>INDEX(Emissions!$D$26:$AJ$26,MATCH('Air Quality'!S12, Emissions!$D$13:$AJ$13,0))</f>
        <v>76.713190159020456</v>
      </c>
      <c r="T14">
        <f>INDEX(Emissions!$D$26:$AJ$26,MATCH('Air Quality'!T12, Emissions!$D$13:$AJ$13,0))</f>
        <v>76.713190159020456</v>
      </c>
      <c r="U14">
        <f>INDEX(Emissions!$D$26:$AJ$26,MATCH('Air Quality'!U12, Emissions!$D$13:$AJ$13,0))</f>
        <v>76.713190159020456</v>
      </c>
      <c r="V14">
        <f>INDEX(Emissions!$D$26:$AJ$26,MATCH('Air Quality'!V12, Emissions!$D$13:$AJ$13,0))</f>
        <v>76.713190159020456</v>
      </c>
      <c r="W14">
        <f>INDEX(Emissions!$D$26:$AJ$26,MATCH('Air Quality'!W12, Emissions!$D$13:$AJ$13,0))</f>
        <v>76.713190159020456</v>
      </c>
      <c r="X14">
        <f>INDEX(Emissions!$D$26:$AJ$26,MATCH('Air Quality'!X12, Emissions!$D$13:$AJ$13,0))</f>
        <v>76.713190159020456</v>
      </c>
      <c r="Y14">
        <f>INDEX(Emissions!$D$26:$AJ$26,MATCH('Air Quality'!Y12, Emissions!$D$13:$AJ$13,0))</f>
        <v>76.713190159020456</v>
      </c>
      <c r="Z14">
        <f>INDEX(Emissions!$D$26:$AJ$26,MATCH('Air Quality'!Z12, Emissions!$D$13:$AJ$13,0))</f>
        <v>76.713190159020456</v>
      </c>
      <c r="AA14">
        <f>INDEX(Emissions!$D$26:$AJ$26,MATCH('Air Quality'!AA12, Emissions!$D$13:$AJ$13,0))</f>
        <v>76.713190159020456</v>
      </c>
      <c r="AB14">
        <f>INDEX(Emissions!$D$26:$AJ$26,MATCH('Air Quality'!AB12, Emissions!$D$13:$AJ$13,0))</f>
        <v>76.713190159020456</v>
      </c>
      <c r="AC14">
        <f>INDEX(Emissions!$D$26:$AJ$26,MATCH('Air Quality'!AC12, Emissions!$D$13:$AJ$13,0))</f>
        <v>76.713190159020456</v>
      </c>
      <c r="AD14">
        <f>INDEX(Emissions!$D$26:$AJ$26,MATCH('Air Quality'!AD12, Emissions!$D$13:$AJ$13,0))</f>
        <v>76.713190159020456</v>
      </c>
      <c r="AE14">
        <f>INDEX(Emissions!$D$26:$AJ$26,MATCH('Air Quality'!AE12, Emissions!$D$13:$AJ$13,0))</f>
        <v>76.713190159020456</v>
      </c>
      <c r="AF14">
        <f>INDEX(Emissions!$D$26:$AJ$26,MATCH('Air Quality'!AF12, Emissions!$D$13:$AJ$13,0))</f>
        <v>76.713190159020456</v>
      </c>
      <c r="AG14">
        <f>INDEX(Emissions!$D$26:$AJ$26,MATCH('Air Quality'!AG12, Emissions!$D$13:$AJ$13,0))</f>
        <v>76.713190159020456</v>
      </c>
      <c r="AH14">
        <f>AG14</f>
        <v>76.713190159020456</v>
      </c>
      <c r="AI14">
        <f>AH14*0.75</f>
        <v>57.534892619265342</v>
      </c>
    </row>
    <row r="15" spans="1:47" x14ac:dyDescent="0.25">
      <c r="A15" t="s">
        <v>201</v>
      </c>
      <c r="B15" t="s">
        <v>94</v>
      </c>
      <c r="C15">
        <f>SUM(D15:AI15)</f>
        <v>10.303587584951902</v>
      </c>
      <c r="D15">
        <v>0</v>
      </c>
      <c r="E15" s="46">
        <f>(INDEX(Emissions!$D$18:$AJ$18,MATCH('Air Quality'!E12, Emissions!$D$13:$AJ$13,0)))*0.25</f>
        <v>8.6799077758707419E-2</v>
      </c>
      <c r="F15">
        <f>INDEX(Emissions!$D$18:$AJ$18,MATCH('Air Quality'!F12, Emissions!$D$13:$AJ$13,0))</f>
        <v>0.34408880691542332</v>
      </c>
      <c r="G15">
        <f>INDEX(Emissions!$D$18:$AJ$18,MATCH('Air Quality'!G12, Emissions!$D$13:$AJ$13,0))</f>
        <v>0.34339825044444411</v>
      </c>
      <c r="H15">
        <f>INDEX(Emissions!$D$18:$AJ$18,MATCH('Air Quality'!H12, Emissions!$D$13:$AJ$13,0))</f>
        <v>0.34339825044444411</v>
      </c>
      <c r="I15">
        <f>INDEX(Emissions!$D$18:$AJ$18,MATCH('Air Quality'!I12, Emissions!$D$13:$AJ$13,0))</f>
        <v>0.34339825044444411</v>
      </c>
      <c r="J15">
        <f>INDEX(Emissions!$D$18:$AJ$18,MATCH('Air Quality'!J12, Emissions!$D$13:$AJ$13,0))</f>
        <v>0.34339825044444411</v>
      </c>
      <c r="K15">
        <f>INDEX(Emissions!$D$18:$AJ$18,MATCH('Air Quality'!K12, Emissions!$D$13:$AJ$13,0))</f>
        <v>0.34339825044444411</v>
      </c>
      <c r="L15">
        <f>INDEX(Emissions!$D$18:$AJ$18,MATCH('Air Quality'!L12, Emissions!$D$13:$AJ$13,0))</f>
        <v>0.34339825044444411</v>
      </c>
      <c r="M15">
        <f>INDEX(Emissions!$D$18:$AJ$18,MATCH('Air Quality'!M12, Emissions!$D$13:$AJ$13,0))</f>
        <v>0.34339825044444411</v>
      </c>
      <c r="N15">
        <f>INDEX(Emissions!$D$18:$AJ$18,MATCH('Air Quality'!N12, Emissions!$D$13:$AJ$13,0))</f>
        <v>0.34339825044444411</v>
      </c>
      <c r="O15">
        <f>INDEX(Emissions!$D$18:$AJ$18,MATCH('Air Quality'!O12, Emissions!$D$13:$AJ$13,0))</f>
        <v>0.34339825044444411</v>
      </c>
      <c r="P15">
        <f>INDEX(Emissions!$D$18:$AJ$18,MATCH('Air Quality'!P12, Emissions!$D$13:$AJ$13,0))</f>
        <v>0.34339825044444411</v>
      </c>
      <c r="Q15">
        <f>INDEX(Emissions!$D$18:$AJ$18,MATCH('Air Quality'!Q12, Emissions!$D$13:$AJ$13,0))</f>
        <v>0.34339825044444411</v>
      </c>
      <c r="R15">
        <f>INDEX(Emissions!$D$18:$AJ$18,MATCH('Air Quality'!R12, Emissions!$D$13:$AJ$13,0))</f>
        <v>0.34339825044444411</v>
      </c>
      <c r="S15">
        <f>INDEX(Emissions!$D$18:$AJ$18,MATCH('Air Quality'!S12, Emissions!$D$13:$AJ$13,0))</f>
        <v>0.34339825044444411</v>
      </c>
      <c r="T15">
        <f>INDEX(Emissions!$D$18:$AJ$18,MATCH('Air Quality'!T12, Emissions!$D$13:$AJ$13,0))</f>
        <v>0.34339825044444411</v>
      </c>
      <c r="U15">
        <f>INDEX(Emissions!$D$18:$AJ$18,MATCH('Air Quality'!U12, Emissions!$D$13:$AJ$13,0))</f>
        <v>0.34339825044444411</v>
      </c>
      <c r="V15">
        <f>INDEX(Emissions!$D$18:$AJ$18,MATCH('Air Quality'!V12, Emissions!$D$13:$AJ$13,0))</f>
        <v>0.34339825044444411</v>
      </c>
      <c r="W15">
        <f>INDEX(Emissions!$D$18:$AJ$18,MATCH('Air Quality'!W12, Emissions!$D$13:$AJ$13,0))</f>
        <v>0.34339825044444411</v>
      </c>
      <c r="X15">
        <f>INDEX(Emissions!$D$18:$AJ$18,MATCH('Air Quality'!X12, Emissions!$D$13:$AJ$13,0))</f>
        <v>0.34339825044444411</v>
      </c>
      <c r="Y15">
        <f>INDEX(Emissions!$D$18:$AJ$18,MATCH('Air Quality'!Y12, Emissions!$D$13:$AJ$13,0))</f>
        <v>0.34339825044444411</v>
      </c>
      <c r="Z15">
        <f>INDEX(Emissions!$D$18:$AJ$18,MATCH('Air Quality'!Z12, Emissions!$D$13:$AJ$13,0))</f>
        <v>0.34339825044444411</v>
      </c>
      <c r="AA15">
        <f>INDEX(Emissions!$D$18:$AJ$18,MATCH('Air Quality'!AA12, Emissions!$D$13:$AJ$13,0))</f>
        <v>0.34339825044444411</v>
      </c>
      <c r="AB15">
        <f>INDEX(Emissions!$D$18:$AJ$18,MATCH('Air Quality'!AB12, Emissions!$D$13:$AJ$13,0))</f>
        <v>0.34339825044444411</v>
      </c>
      <c r="AC15">
        <f>INDEX(Emissions!$D$18:$AJ$18,MATCH('Air Quality'!AC12, Emissions!$D$13:$AJ$13,0))</f>
        <v>0.34339825044444411</v>
      </c>
      <c r="AD15">
        <f>INDEX(Emissions!$D$18:$AJ$18,MATCH('Air Quality'!AD12, Emissions!$D$13:$AJ$13,0))</f>
        <v>0.34339825044444411</v>
      </c>
      <c r="AE15">
        <f>INDEX(Emissions!$D$18:$AJ$18,MATCH('Air Quality'!AE12, Emissions!$D$13:$AJ$13,0))</f>
        <v>0.34339825044444411</v>
      </c>
      <c r="AF15">
        <f>INDEX(Emissions!$D$18:$AJ$18,MATCH('Air Quality'!AF12, Emissions!$D$13:$AJ$13,0))</f>
        <v>0.34339825044444411</v>
      </c>
      <c r="AG15">
        <f>INDEX(Emissions!$D$18:$AJ$18,MATCH('Air Quality'!AG12, Emissions!$D$13:$AJ$13,0))</f>
        <v>0.34339825044444411</v>
      </c>
      <c r="AH15">
        <f>AG15</f>
        <v>0.34339825044444411</v>
      </c>
      <c r="AI15">
        <f>AH15*0.75</f>
        <v>0.25754868783333307</v>
      </c>
    </row>
    <row r="16" spans="1:47" x14ac:dyDescent="0.25">
      <c r="A16" t="s">
        <v>143</v>
      </c>
      <c r="B16" t="s">
        <v>160</v>
      </c>
      <c r="D16" s="9">
        <f>INDEX('BCA Values'!$B$6:$B$35,MATCH('Air Quality'!D12, 'BCA Values'!$A$6:$A$35,0))</f>
        <v>17200</v>
      </c>
      <c r="E16" s="9">
        <f>INDEX('BCA Values'!$B$6:$B$35,MATCH('Air Quality'!E12, 'BCA Values'!$A$6:$A$35,0))</f>
        <v>17500</v>
      </c>
      <c r="F16" s="9">
        <f>INDEX('BCA Values'!$B$6:$B$35,MATCH('Air Quality'!F12, 'BCA Values'!$A$6:$A$35,0))</f>
        <v>17900</v>
      </c>
      <c r="G16" s="9">
        <f>INDEX('BCA Values'!$B$6:$B$35,MATCH('Air Quality'!G12, 'BCA Values'!$A$6:$A$35,0))</f>
        <v>18200</v>
      </c>
      <c r="H16" s="9">
        <f>INDEX('BCA Values'!$B$6:$B$35,MATCH('Air Quality'!H12, 'BCA Values'!$A$6:$A$35,0))</f>
        <v>18600</v>
      </c>
      <c r="I16" s="9">
        <f>INDEX('BCA Values'!$B$6:$B$35,MATCH('Air Quality'!I12, 'BCA Values'!$A$6:$A$35,0))</f>
        <v>18900</v>
      </c>
      <c r="J16" s="9">
        <f>INDEX('BCA Values'!$B$6:$B$35,MATCH('Air Quality'!J12, 'BCA Values'!$A$6:$A$35,0))</f>
        <v>18900</v>
      </c>
      <c r="K16" s="9">
        <f>INDEX('BCA Values'!$B$6:$B$35,MATCH('Air Quality'!K12, 'BCA Values'!$A$6:$A$35,0))</f>
        <v>18900</v>
      </c>
      <c r="L16" s="9">
        <f>INDEX('BCA Values'!$B$6:$B$35,MATCH('Air Quality'!L12, 'BCA Values'!$A$6:$A$35,0))</f>
        <v>18900</v>
      </c>
      <c r="M16" s="9">
        <f>INDEX('BCA Values'!$B$6:$B$35,MATCH('Air Quality'!M12, 'BCA Values'!$A$6:$A$35,0))</f>
        <v>18900</v>
      </c>
      <c r="N16" s="9">
        <f>INDEX('BCA Values'!$B$6:$B$35,MATCH('Air Quality'!N12, 'BCA Values'!$A$6:$A$35,0))</f>
        <v>18900</v>
      </c>
      <c r="O16" s="9">
        <f>INDEX('BCA Values'!$B$6:$B$35,MATCH('Air Quality'!O12, 'BCA Values'!$A$6:$A$35,0))</f>
        <v>18900</v>
      </c>
      <c r="P16" s="9">
        <f>INDEX('BCA Values'!$B$6:$B$35,MATCH('Air Quality'!P12, 'BCA Values'!$A$6:$A$35,0))</f>
        <v>18900</v>
      </c>
      <c r="Q16" s="9">
        <f>INDEX('BCA Values'!$B$6:$B$35,MATCH('Air Quality'!Q12, 'BCA Values'!$A$6:$A$35,0))</f>
        <v>18900</v>
      </c>
      <c r="R16" s="9">
        <f>INDEX('BCA Values'!$B$6:$B$35,MATCH('Air Quality'!R12, 'BCA Values'!$A$6:$A$35,0))</f>
        <v>18900</v>
      </c>
      <c r="S16" s="9">
        <f>INDEX('BCA Values'!$B$6:$B$35,MATCH('Air Quality'!S12, 'BCA Values'!$A$6:$A$35,0))</f>
        <v>18900</v>
      </c>
      <c r="T16" s="9">
        <f>INDEX('BCA Values'!$B$6:$B$35,MATCH('Air Quality'!T12, 'BCA Values'!$A$6:$A$35,0))</f>
        <v>18900</v>
      </c>
      <c r="U16" s="9">
        <f>INDEX('BCA Values'!$B$6:$B$35,MATCH('Air Quality'!U12, 'BCA Values'!$A$6:$A$35,0))</f>
        <v>18900</v>
      </c>
      <c r="V16" s="9">
        <f>INDEX('BCA Values'!$B$6:$B$35,MATCH('Air Quality'!V12, 'BCA Values'!$A$6:$A$35,0))</f>
        <v>18900</v>
      </c>
      <c r="W16" s="9">
        <f>INDEX('BCA Values'!$B$6:$B$35,MATCH('Air Quality'!W12, 'BCA Values'!$A$6:$A$35,0))</f>
        <v>18900</v>
      </c>
      <c r="X16" s="9">
        <f>INDEX('BCA Values'!$B$6:$B$35,MATCH('Air Quality'!X12, 'BCA Values'!$A$6:$A$35,0))</f>
        <v>18900</v>
      </c>
      <c r="Y16" s="9">
        <f>INDEX('BCA Values'!$B$6:$B$35,MATCH('Air Quality'!Y12, 'BCA Values'!$A$6:$A$35,0))</f>
        <v>18900</v>
      </c>
      <c r="Z16" s="9">
        <f>INDEX('BCA Values'!$B$6:$B$35,MATCH('Air Quality'!Z12, 'BCA Values'!$A$6:$A$35,0))</f>
        <v>18900</v>
      </c>
      <c r="AA16" s="9">
        <f>INDEX('BCA Values'!$B$6:$B$35,MATCH('Air Quality'!AA12, 'BCA Values'!$A$6:$A$35,0))</f>
        <v>18900</v>
      </c>
      <c r="AB16" s="9">
        <f>INDEX('BCA Values'!$B$6:$B$35,MATCH('Air Quality'!AB12, 'BCA Values'!$A$6:$A$35,0))</f>
        <v>18900</v>
      </c>
      <c r="AC16" s="9">
        <f>INDEX('BCA Values'!$B$6:$B$35,MATCH('Air Quality'!AC12, 'BCA Values'!$A$6:$A$35,0))</f>
        <v>18900</v>
      </c>
      <c r="AD16" s="9">
        <f>AC16</f>
        <v>18900</v>
      </c>
      <c r="AE16" s="9">
        <f t="shared" ref="AE16:AH16" si="1">AD16</f>
        <v>18900</v>
      </c>
      <c r="AF16" s="9">
        <f t="shared" si="1"/>
        <v>18900</v>
      </c>
      <c r="AG16" s="9">
        <f t="shared" si="1"/>
        <v>18900</v>
      </c>
      <c r="AH16" s="9">
        <f t="shared" si="1"/>
        <v>18900</v>
      </c>
      <c r="AI16" s="9">
        <f>AH16</f>
        <v>18900</v>
      </c>
      <c r="AJ16" s="9"/>
      <c r="AK16" s="9"/>
      <c r="AL16" s="9"/>
      <c r="AM16" s="9"/>
      <c r="AN16" s="9"/>
      <c r="AO16" s="9"/>
    </row>
    <row r="17" spans="1:41" x14ac:dyDescent="0.25">
      <c r="A17" t="s">
        <v>143</v>
      </c>
      <c r="B17" t="s">
        <v>162</v>
      </c>
      <c r="D17" s="9">
        <f>INDEX('BCA Values'!$E$6:$E$35,MATCH('Air Quality'!D12, 'BCA Values'!$A$6:$A$35,0))</f>
        <v>59</v>
      </c>
      <c r="E17" s="9">
        <f>INDEX('BCA Values'!$E$6:$E$35,MATCH('Air Quality'!E12, 'BCA Values'!$A$6:$A$35,0))</f>
        <v>60</v>
      </c>
      <c r="F17" s="9">
        <f>INDEX('BCA Values'!$E$6:$E$35,MATCH('Air Quality'!F12, 'BCA Values'!$A$6:$A$35,0))</f>
        <v>61</v>
      </c>
      <c r="G17" s="9">
        <f>INDEX('BCA Values'!$E$6:$E$35,MATCH('Air Quality'!G12, 'BCA Values'!$A$6:$A$35,0))</f>
        <v>62</v>
      </c>
      <c r="H17" s="9">
        <f>INDEX('BCA Values'!$E$6:$E$35,MATCH('Air Quality'!H12, 'BCA Values'!$A$6:$A$35,0))</f>
        <v>63</v>
      </c>
      <c r="I17" s="9">
        <f>INDEX('BCA Values'!$E$6:$E$35,MATCH('Air Quality'!I12, 'BCA Values'!$A$6:$A$35,0))</f>
        <v>65</v>
      </c>
      <c r="J17" s="9">
        <f>INDEX('BCA Values'!$E$6:$E$35,MATCH('Air Quality'!J12, 'BCA Values'!$A$6:$A$35,0))</f>
        <v>66</v>
      </c>
      <c r="K17" s="9">
        <f>INDEX('BCA Values'!$E$6:$E$35,MATCH('Air Quality'!K12, 'BCA Values'!$A$6:$A$35,0))</f>
        <v>67</v>
      </c>
      <c r="L17" s="9">
        <f>INDEX('BCA Values'!$E$6:$E$35,MATCH('Air Quality'!L12, 'BCA Values'!$A$6:$A$35,0))</f>
        <v>68</v>
      </c>
      <c r="M17" s="9">
        <f>INDEX('BCA Values'!$E$6:$E$35,MATCH('Air Quality'!M12, 'BCA Values'!$A$6:$A$35,0))</f>
        <v>69</v>
      </c>
      <c r="N17" s="9">
        <f>INDEX('BCA Values'!$E$6:$E$35,MATCH('Air Quality'!N12, 'BCA Values'!$A$6:$A$35,0))</f>
        <v>70</v>
      </c>
      <c r="O17" s="9">
        <f>INDEX('BCA Values'!$E$6:$E$35,MATCH('Air Quality'!O12, 'BCA Values'!$A$6:$A$35,0))</f>
        <v>72</v>
      </c>
      <c r="P17" s="9">
        <f>INDEX('BCA Values'!$E$6:$E$35,MATCH('Air Quality'!P12, 'BCA Values'!$A$6:$A$35,0))</f>
        <v>73</v>
      </c>
      <c r="Q17" s="9">
        <f>INDEX('BCA Values'!$E$6:$E$35,MATCH('Air Quality'!Q12, 'BCA Values'!$A$6:$A$35,0))</f>
        <v>74</v>
      </c>
      <c r="R17" s="9">
        <f>INDEX('BCA Values'!$E$6:$E$35,MATCH('Air Quality'!R12, 'BCA Values'!$A$6:$A$35,0))</f>
        <v>75</v>
      </c>
      <c r="S17" s="9">
        <f>INDEX('BCA Values'!$E$6:$E$35,MATCH('Air Quality'!S12, 'BCA Values'!$A$6:$A$35,0))</f>
        <v>76</v>
      </c>
      <c r="T17" s="9">
        <f>INDEX('BCA Values'!$E$6:$E$35,MATCH('Air Quality'!T12, 'BCA Values'!$A$6:$A$35,0))</f>
        <v>78</v>
      </c>
      <c r="U17" s="9">
        <f>INDEX('BCA Values'!$E$6:$E$35,MATCH('Air Quality'!U12, 'BCA Values'!$A$6:$A$35,0))</f>
        <v>79</v>
      </c>
      <c r="V17" s="9">
        <f>INDEX('BCA Values'!$E$6:$E$35,MATCH('Air Quality'!V12, 'BCA Values'!$A$6:$A$35,0))</f>
        <v>80</v>
      </c>
      <c r="W17" s="9">
        <f>INDEX('BCA Values'!$E$6:$E$35,MATCH('Air Quality'!W12, 'BCA Values'!$A$6:$A$35,0))</f>
        <v>81</v>
      </c>
      <c r="X17" s="9">
        <f>INDEX('BCA Values'!$E$6:$E$35,MATCH('Air Quality'!X12, 'BCA Values'!$A$6:$A$35,0))</f>
        <v>82</v>
      </c>
      <c r="Y17" s="9">
        <f>INDEX('BCA Values'!$E$6:$E$35,MATCH('Air Quality'!Y12, 'BCA Values'!$A$6:$A$35,0))</f>
        <v>84</v>
      </c>
      <c r="Z17" s="9">
        <f>INDEX('BCA Values'!$E$6:$E$35,MATCH('Air Quality'!Z12, 'BCA Values'!$A$6:$A$35,0))</f>
        <v>85</v>
      </c>
      <c r="AA17" s="9">
        <f>INDEX('BCA Values'!$E$6:$E$35,MATCH('Air Quality'!AA12, 'BCA Values'!$A$6:$A$35,0))</f>
        <v>86</v>
      </c>
      <c r="AB17" s="9">
        <f>INDEX('BCA Values'!$E$6:$E$35,MATCH('Air Quality'!AB12, 'BCA Values'!$A$6:$A$35,0))</f>
        <v>87</v>
      </c>
      <c r="AC17" s="9">
        <f>INDEX('BCA Values'!$E$6:$E$35,MATCH('Air Quality'!AC12, 'BCA Values'!$A$6:$A$35,0))</f>
        <v>88</v>
      </c>
      <c r="AD17" s="9">
        <f>AC17</f>
        <v>88</v>
      </c>
      <c r="AE17" s="9">
        <f t="shared" ref="AE17:AH17" si="2">AD17</f>
        <v>88</v>
      </c>
      <c r="AF17" s="9">
        <f t="shared" si="2"/>
        <v>88</v>
      </c>
      <c r="AG17" s="9">
        <f t="shared" si="2"/>
        <v>88</v>
      </c>
      <c r="AH17" s="9">
        <f t="shared" si="2"/>
        <v>88</v>
      </c>
      <c r="AI17" s="9">
        <f>AH17</f>
        <v>88</v>
      </c>
      <c r="AJ17" s="9"/>
      <c r="AK17" s="9"/>
      <c r="AL17" s="9"/>
      <c r="AM17" s="9"/>
      <c r="AN17" s="9"/>
      <c r="AO17" s="9"/>
    </row>
    <row r="18" spans="1:41" x14ac:dyDescent="0.25">
      <c r="A18" t="s">
        <v>143</v>
      </c>
      <c r="B18" t="s">
        <v>163</v>
      </c>
      <c r="D18" s="9">
        <f>INDEX('BCA Values'!$D$6:$D$35,MATCH('Air Quality'!D12, 'BCA Values'!$A$6:$A$35,0))</f>
        <v>838800</v>
      </c>
      <c r="E18" s="9">
        <f>INDEX('BCA Values'!$D$6:$D$35,MATCH('Air Quality'!E12, 'BCA Values'!$A$6:$A$35,0))</f>
        <v>852100</v>
      </c>
      <c r="F18" s="9">
        <f>INDEX('BCA Values'!$D$6:$D$35,MATCH('Air Quality'!F12, 'BCA Values'!$A$6:$A$35,0))</f>
        <v>865600</v>
      </c>
      <c r="G18" s="9">
        <f>INDEX('BCA Values'!$D$6:$D$35,MATCH('Air Quality'!G12, 'BCA Values'!$A$6:$A$35,0))</f>
        <v>879400</v>
      </c>
      <c r="H18" s="9">
        <f>INDEX('BCA Values'!$D$6:$D$35,MATCH('Air Quality'!H12, 'BCA Values'!$A$6:$A$35,0))</f>
        <v>893400</v>
      </c>
      <c r="I18" s="9">
        <f>INDEX('BCA Values'!$D$6:$D$35,MATCH('Air Quality'!I12, 'BCA Values'!$A$6:$A$35,0))</f>
        <v>907600</v>
      </c>
      <c r="J18" s="9">
        <f>INDEX('BCA Values'!$D$6:$D$35,MATCH('Air Quality'!J12, 'BCA Values'!$A$6:$A$35,0))</f>
        <v>907600</v>
      </c>
      <c r="K18" s="9">
        <f>INDEX('BCA Values'!$D$6:$D$35,MATCH('Air Quality'!K12, 'BCA Values'!$A$6:$A$35,0))</f>
        <v>907600</v>
      </c>
      <c r="L18" s="9">
        <f>INDEX('BCA Values'!$D$6:$D$35,MATCH('Air Quality'!L12, 'BCA Values'!$A$6:$A$35,0))</f>
        <v>907600</v>
      </c>
      <c r="M18" s="9">
        <f>INDEX('BCA Values'!$D$6:$D$35,MATCH('Air Quality'!M12, 'BCA Values'!$A$6:$A$35,0))</f>
        <v>907600</v>
      </c>
      <c r="N18" s="9">
        <f>INDEX('BCA Values'!$D$6:$D$35,MATCH('Air Quality'!N12, 'BCA Values'!$A$6:$A$35,0))</f>
        <v>907600</v>
      </c>
      <c r="O18" s="9">
        <f>INDEX('BCA Values'!$D$6:$D$35,MATCH('Air Quality'!O12, 'BCA Values'!$A$6:$A$35,0))</f>
        <v>907600</v>
      </c>
      <c r="P18" s="9">
        <f>INDEX('BCA Values'!$D$6:$D$35,MATCH('Air Quality'!P12, 'BCA Values'!$A$6:$A$35,0))</f>
        <v>907600</v>
      </c>
      <c r="Q18" s="9">
        <f>INDEX('BCA Values'!$D$6:$D$35,MATCH('Air Quality'!Q12, 'BCA Values'!$A$6:$A$35,0))</f>
        <v>907600</v>
      </c>
      <c r="R18" s="9">
        <f>INDEX('BCA Values'!$D$6:$D$35,MATCH('Air Quality'!R12, 'BCA Values'!$A$6:$A$35,0))</f>
        <v>907600</v>
      </c>
      <c r="S18" s="9">
        <f>INDEX('BCA Values'!$D$6:$D$35,MATCH('Air Quality'!S12, 'BCA Values'!$A$6:$A$35,0))</f>
        <v>907600</v>
      </c>
      <c r="T18" s="9">
        <f>INDEX('BCA Values'!$D$6:$D$35,MATCH('Air Quality'!T12, 'BCA Values'!$A$6:$A$35,0))</f>
        <v>907600</v>
      </c>
      <c r="U18" s="9">
        <f>INDEX('BCA Values'!$D$6:$D$35,MATCH('Air Quality'!U12, 'BCA Values'!$A$6:$A$35,0))</f>
        <v>907600</v>
      </c>
      <c r="V18" s="9">
        <f>INDEX('BCA Values'!$D$6:$D$35,MATCH('Air Quality'!V12, 'BCA Values'!$A$6:$A$35,0))</f>
        <v>907600</v>
      </c>
      <c r="W18" s="9">
        <f>INDEX('BCA Values'!$D$6:$D$35,MATCH('Air Quality'!W12, 'BCA Values'!$A$6:$A$35,0))</f>
        <v>907600</v>
      </c>
      <c r="X18" s="9">
        <f>INDEX('BCA Values'!$D$6:$D$35,MATCH('Air Quality'!X12, 'BCA Values'!$A$6:$A$35,0))</f>
        <v>907600</v>
      </c>
      <c r="Y18" s="9">
        <f>INDEX('BCA Values'!$D$6:$D$35,MATCH('Air Quality'!Y12, 'BCA Values'!$A$6:$A$35,0))</f>
        <v>907600</v>
      </c>
      <c r="Z18" s="9">
        <f>INDEX('BCA Values'!$D$6:$D$35,MATCH('Air Quality'!Z12, 'BCA Values'!$A$6:$A$35,0))</f>
        <v>907600</v>
      </c>
      <c r="AA18" s="9">
        <f>INDEX('BCA Values'!$D$6:$D$35,MATCH('Air Quality'!AA12, 'BCA Values'!$A$6:$A$35,0))</f>
        <v>907600</v>
      </c>
      <c r="AB18" s="9">
        <f>INDEX('BCA Values'!$D$6:$D$35,MATCH('Air Quality'!AB12, 'BCA Values'!$A$6:$A$35,0))</f>
        <v>907600</v>
      </c>
      <c r="AC18" s="9">
        <f>INDEX('BCA Values'!$D$6:$D$35,MATCH('Air Quality'!AC12, 'BCA Values'!$A$6:$A$35,0))</f>
        <v>907600</v>
      </c>
      <c r="AD18" s="9">
        <f>AC18</f>
        <v>907600</v>
      </c>
      <c r="AE18" s="9">
        <f t="shared" ref="AE18:AH18" si="3">AD18</f>
        <v>907600</v>
      </c>
      <c r="AF18" s="9">
        <f t="shared" si="3"/>
        <v>907600</v>
      </c>
      <c r="AG18" s="9">
        <f t="shared" si="3"/>
        <v>907600</v>
      </c>
      <c r="AH18" s="9">
        <f t="shared" si="3"/>
        <v>907600</v>
      </c>
      <c r="AI18" s="9">
        <f>AH18</f>
        <v>907600</v>
      </c>
      <c r="AJ18" s="9"/>
      <c r="AK18" s="9"/>
      <c r="AL18" s="9"/>
      <c r="AM18" s="9"/>
      <c r="AN18" s="9"/>
      <c r="AO18" s="9"/>
    </row>
    <row r="19" spans="1:41" x14ac:dyDescent="0.25">
      <c r="A19" t="s">
        <v>202</v>
      </c>
      <c r="B19" t="s">
        <v>203</v>
      </c>
      <c r="D19" s="20">
        <f>D13*D16</f>
        <v>0</v>
      </c>
      <c r="E19" s="20">
        <f>E13*E16*0.25</f>
        <v>23945.780060125544</v>
      </c>
      <c r="F19" s="20">
        <f t="shared" ref="F19:AH21" si="4">F13*F16</f>
        <v>389609.13433256891</v>
      </c>
      <c r="G19" s="20">
        <f t="shared" si="4"/>
        <v>395623.58884048904</v>
      </c>
      <c r="H19" s="20">
        <f t="shared" si="4"/>
        <v>404318.6127710492</v>
      </c>
      <c r="I19" s="20">
        <f t="shared" si="4"/>
        <v>410839.88071896939</v>
      </c>
      <c r="J19" s="20">
        <f t="shared" si="4"/>
        <v>410839.88071896939</v>
      </c>
      <c r="K19" s="20">
        <f t="shared" si="4"/>
        <v>410839.88071896939</v>
      </c>
      <c r="L19" s="20">
        <f t="shared" si="4"/>
        <v>410839.88071896939</v>
      </c>
      <c r="M19" s="20">
        <f t="shared" si="4"/>
        <v>410839.88071896939</v>
      </c>
      <c r="N19" s="20">
        <f t="shared" si="4"/>
        <v>410839.88071896939</v>
      </c>
      <c r="O19" s="20">
        <f t="shared" si="4"/>
        <v>410839.88071896939</v>
      </c>
      <c r="P19" s="20">
        <f t="shared" si="4"/>
        <v>410839.88071896939</v>
      </c>
      <c r="Q19" s="20">
        <f t="shared" si="4"/>
        <v>410839.88071896939</v>
      </c>
      <c r="R19" s="20">
        <f t="shared" si="4"/>
        <v>410839.88071896939</v>
      </c>
      <c r="S19" s="20">
        <f t="shared" si="4"/>
        <v>410839.88071896939</v>
      </c>
      <c r="T19" s="20">
        <f t="shared" si="4"/>
        <v>410839.88071896939</v>
      </c>
      <c r="U19" s="20">
        <f t="shared" si="4"/>
        <v>410839.88071896939</v>
      </c>
      <c r="V19" s="20">
        <f t="shared" si="4"/>
        <v>410839.88071896939</v>
      </c>
      <c r="W19" s="20">
        <f t="shared" si="4"/>
        <v>410839.88071896939</v>
      </c>
      <c r="X19" s="20">
        <f t="shared" si="4"/>
        <v>410839.88071896939</v>
      </c>
      <c r="Y19" s="20">
        <f t="shared" si="4"/>
        <v>410839.88071896939</v>
      </c>
      <c r="Z19" s="20">
        <f t="shared" si="4"/>
        <v>410839.88071896939</v>
      </c>
      <c r="AA19" s="20">
        <f t="shared" si="4"/>
        <v>410839.88071896939</v>
      </c>
      <c r="AB19" s="20">
        <f t="shared" si="4"/>
        <v>410839.88071896939</v>
      </c>
      <c r="AC19" s="20">
        <f t="shared" si="4"/>
        <v>410839.88071896939</v>
      </c>
      <c r="AD19" s="20">
        <f t="shared" si="4"/>
        <v>410839.88071896939</v>
      </c>
      <c r="AE19" s="20">
        <f t="shared" si="4"/>
        <v>410839.88071896939</v>
      </c>
      <c r="AF19" s="20">
        <f t="shared" si="4"/>
        <v>410839.88071896939</v>
      </c>
      <c r="AG19" s="20">
        <f t="shared" si="4"/>
        <v>410839.88071896939</v>
      </c>
      <c r="AH19" s="20">
        <f t="shared" si="4"/>
        <v>410839.88071896939</v>
      </c>
      <c r="AI19" s="20">
        <f>AI13*AI16*0.75</f>
        <v>231097.43290442025</v>
      </c>
      <c r="AJ19" s="20"/>
      <c r="AK19" s="20"/>
      <c r="AL19" s="20"/>
      <c r="AM19" s="20"/>
      <c r="AN19" s="20"/>
      <c r="AO19" s="20"/>
    </row>
    <row r="20" spans="1:41" x14ac:dyDescent="0.25">
      <c r="A20" t="s">
        <v>202</v>
      </c>
      <c r="B20" t="s">
        <v>204</v>
      </c>
      <c r="D20" s="20">
        <f t="shared" ref="D20" si="5">D14*D17</f>
        <v>0</v>
      </c>
      <c r="E20" s="20">
        <f>E14*E17*0.25</f>
        <v>291.70713866632673</v>
      </c>
      <c r="F20" s="20">
        <f t="shared" ref="F20:T20" si="6">F14*F17</f>
        <v>4691.4315432042476</v>
      </c>
      <c r="G20" s="20">
        <f t="shared" si="6"/>
        <v>4756.2177898592681</v>
      </c>
      <c r="H20" s="20">
        <f t="shared" si="6"/>
        <v>4832.9309800182891</v>
      </c>
      <c r="I20" s="20">
        <f t="shared" si="6"/>
        <v>4986.3573603363293</v>
      </c>
      <c r="J20" s="20">
        <f t="shared" si="6"/>
        <v>5063.0705504953503</v>
      </c>
      <c r="K20" s="20">
        <f t="shared" si="6"/>
        <v>5139.7837406543704</v>
      </c>
      <c r="L20" s="20">
        <f t="shared" si="6"/>
        <v>5216.4969308133914</v>
      </c>
      <c r="M20" s="20">
        <f t="shared" si="6"/>
        <v>5293.2101209724115</v>
      </c>
      <c r="N20" s="20">
        <f t="shared" si="6"/>
        <v>5369.9233111314315</v>
      </c>
      <c r="O20" s="20">
        <f t="shared" si="6"/>
        <v>5523.3496914494726</v>
      </c>
      <c r="P20" s="20">
        <f t="shared" si="6"/>
        <v>5600.0628816084936</v>
      </c>
      <c r="Q20" s="20">
        <f t="shared" si="6"/>
        <v>5676.7760717675137</v>
      </c>
      <c r="R20" s="20">
        <f t="shared" si="6"/>
        <v>5753.4892619265338</v>
      </c>
      <c r="S20" s="20">
        <f t="shared" si="6"/>
        <v>5830.2024520855548</v>
      </c>
      <c r="T20" s="20">
        <f t="shared" si="6"/>
        <v>5983.6288324035959</v>
      </c>
      <c r="U20" s="20">
        <f t="shared" si="4"/>
        <v>6060.342022562616</v>
      </c>
      <c r="V20" s="20">
        <f t="shared" si="4"/>
        <v>6137.0552127216361</v>
      </c>
      <c r="W20" s="20">
        <f t="shared" si="4"/>
        <v>6213.768402880657</v>
      </c>
      <c r="X20" s="20">
        <f t="shared" si="4"/>
        <v>6290.4815930396771</v>
      </c>
      <c r="Y20" s="20">
        <f t="shared" si="4"/>
        <v>6443.9079733577182</v>
      </c>
      <c r="Z20" s="20">
        <f t="shared" si="4"/>
        <v>6520.6211635167392</v>
      </c>
      <c r="AA20" s="20">
        <f t="shared" si="4"/>
        <v>6597.3343536757593</v>
      </c>
      <c r="AB20" s="20">
        <f t="shared" si="4"/>
        <v>6674.0475438347794</v>
      </c>
      <c r="AC20" s="20">
        <f t="shared" si="4"/>
        <v>6750.7607339938004</v>
      </c>
      <c r="AD20" s="20">
        <f t="shared" si="4"/>
        <v>6750.7607339938004</v>
      </c>
      <c r="AE20" s="20">
        <f t="shared" si="4"/>
        <v>6750.7607339938004</v>
      </c>
      <c r="AF20" s="20">
        <f t="shared" si="4"/>
        <v>6750.7607339938004</v>
      </c>
      <c r="AG20" s="20">
        <f t="shared" si="4"/>
        <v>6750.7607339938004</v>
      </c>
      <c r="AH20" s="20">
        <f t="shared" si="4"/>
        <v>6750.7607339938004</v>
      </c>
      <c r="AI20" s="20">
        <f>AI14*AI17*0.75</f>
        <v>3797.3029128715125</v>
      </c>
      <c r="AJ20" s="20"/>
      <c r="AK20" s="20"/>
      <c r="AL20" s="20"/>
      <c r="AM20" s="20"/>
      <c r="AN20" s="20"/>
      <c r="AO20" s="20"/>
    </row>
    <row r="21" spans="1:41" x14ac:dyDescent="0.25">
      <c r="A21" t="s">
        <v>202</v>
      </c>
      <c r="B21" t="s">
        <v>205</v>
      </c>
      <c r="D21" s="20">
        <f>D15*D18</f>
        <v>0</v>
      </c>
      <c r="E21" s="20">
        <f>E15*E18*0.25</f>
        <v>18490.373539548647</v>
      </c>
      <c r="F21" s="20">
        <f t="shared" si="4"/>
        <v>297843.27126599045</v>
      </c>
      <c r="G21" s="20">
        <f t="shared" si="4"/>
        <v>301984.42144084413</v>
      </c>
      <c r="H21" s="20">
        <f t="shared" si="4"/>
        <v>306791.99694706639</v>
      </c>
      <c r="I21" s="20">
        <f t="shared" si="4"/>
        <v>311668.25210337748</v>
      </c>
      <c r="J21" s="20">
        <f t="shared" si="4"/>
        <v>311668.25210337748</v>
      </c>
      <c r="K21" s="20">
        <f t="shared" si="4"/>
        <v>311668.25210337748</v>
      </c>
      <c r="L21" s="20">
        <f t="shared" si="4"/>
        <v>311668.25210337748</v>
      </c>
      <c r="M21" s="20">
        <f t="shared" si="4"/>
        <v>311668.25210337748</v>
      </c>
      <c r="N21" s="20">
        <f t="shared" si="4"/>
        <v>311668.25210337748</v>
      </c>
      <c r="O21" s="20">
        <f t="shared" si="4"/>
        <v>311668.25210337748</v>
      </c>
      <c r="P21" s="20">
        <f t="shared" si="4"/>
        <v>311668.25210337748</v>
      </c>
      <c r="Q21" s="20">
        <f t="shared" si="4"/>
        <v>311668.25210337748</v>
      </c>
      <c r="R21" s="20">
        <f t="shared" si="4"/>
        <v>311668.25210337748</v>
      </c>
      <c r="S21" s="20">
        <f t="shared" si="4"/>
        <v>311668.25210337748</v>
      </c>
      <c r="T21" s="20">
        <f t="shared" si="4"/>
        <v>311668.25210337748</v>
      </c>
      <c r="U21" s="20">
        <f t="shared" si="4"/>
        <v>311668.25210337748</v>
      </c>
      <c r="V21" s="20">
        <f t="shared" si="4"/>
        <v>311668.25210337748</v>
      </c>
      <c r="W21" s="20">
        <f t="shared" si="4"/>
        <v>311668.25210337748</v>
      </c>
      <c r="X21" s="20">
        <f t="shared" si="4"/>
        <v>311668.25210337748</v>
      </c>
      <c r="Y21" s="20">
        <f t="shared" si="4"/>
        <v>311668.25210337748</v>
      </c>
      <c r="Z21" s="20">
        <f t="shared" si="4"/>
        <v>311668.25210337748</v>
      </c>
      <c r="AA21" s="20">
        <f t="shared" si="4"/>
        <v>311668.25210337748</v>
      </c>
      <c r="AB21" s="20">
        <f t="shared" si="4"/>
        <v>311668.25210337748</v>
      </c>
      <c r="AC21" s="20">
        <f t="shared" si="4"/>
        <v>311668.25210337748</v>
      </c>
      <c r="AD21" s="20">
        <f t="shared" si="4"/>
        <v>311668.25210337748</v>
      </c>
      <c r="AE21" s="20">
        <f t="shared" si="4"/>
        <v>311668.25210337748</v>
      </c>
      <c r="AF21" s="20">
        <f t="shared" si="4"/>
        <v>311668.25210337748</v>
      </c>
      <c r="AG21" s="20">
        <f t="shared" si="4"/>
        <v>311668.25210337748</v>
      </c>
      <c r="AH21" s="20">
        <f t="shared" si="4"/>
        <v>311668.25210337748</v>
      </c>
      <c r="AI21" s="20">
        <f>AI15*AI18*0.75</f>
        <v>175313.39180814981</v>
      </c>
      <c r="AJ21" s="20"/>
      <c r="AK21" s="20"/>
      <c r="AL21" s="20"/>
      <c r="AM21" s="20"/>
      <c r="AN21" s="20"/>
      <c r="AO21" s="20"/>
    </row>
    <row r="22" spans="1:41" s="12" customFormat="1" x14ac:dyDescent="0.25">
      <c r="A22" s="12" t="s">
        <v>206</v>
      </c>
      <c r="D22" s="59">
        <f>SUM(D19:D21)</f>
        <v>0</v>
      </c>
      <c r="E22" s="59">
        <f>SUM(E19:E21)</f>
        <v>42727.860738340518</v>
      </c>
      <c r="F22" s="59">
        <f t="shared" ref="F22:AH22" si="7">SUM(F19:F21)</f>
        <v>692143.83714176365</v>
      </c>
      <c r="G22" s="59">
        <f t="shared" si="7"/>
        <v>702364.22807119251</v>
      </c>
      <c r="H22" s="59">
        <f t="shared" si="7"/>
        <v>715943.54069813387</v>
      </c>
      <c r="I22" s="59">
        <f t="shared" si="7"/>
        <v>727494.49018268322</v>
      </c>
      <c r="J22" s="59">
        <f t="shared" si="7"/>
        <v>727571.20337284217</v>
      </c>
      <c r="K22" s="59">
        <f t="shared" si="7"/>
        <v>727647.91656300123</v>
      </c>
      <c r="L22" s="59">
        <f t="shared" si="7"/>
        <v>727724.62975316029</v>
      </c>
      <c r="M22" s="59">
        <f t="shared" si="7"/>
        <v>727801.34294331935</v>
      </c>
      <c r="N22" s="59">
        <f t="shared" si="7"/>
        <v>727878.0561334783</v>
      </c>
      <c r="O22" s="59">
        <f t="shared" si="7"/>
        <v>728031.48251379631</v>
      </c>
      <c r="P22" s="59">
        <f t="shared" si="7"/>
        <v>728108.19570395537</v>
      </c>
      <c r="Q22" s="59">
        <f t="shared" si="7"/>
        <v>728184.90889411443</v>
      </c>
      <c r="R22" s="59">
        <f t="shared" si="7"/>
        <v>728261.62208427349</v>
      </c>
      <c r="S22" s="59">
        <f t="shared" si="7"/>
        <v>728338.33527443244</v>
      </c>
      <c r="T22" s="59">
        <f t="shared" si="7"/>
        <v>728491.76165475044</v>
      </c>
      <c r="U22" s="59">
        <f t="shared" si="7"/>
        <v>728568.47484490951</v>
      </c>
      <c r="V22" s="59">
        <f t="shared" si="7"/>
        <v>728645.18803506857</v>
      </c>
      <c r="W22" s="59">
        <f t="shared" si="7"/>
        <v>728721.90122522751</v>
      </c>
      <c r="X22" s="59">
        <f t="shared" si="7"/>
        <v>728798.61441538658</v>
      </c>
      <c r="Y22" s="59">
        <f t="shared" si="7"/>
        <v>728952.04079570458</v>
      </c>
      <c r="Z22" s="59">
        <f t="shared" si="7"/>
        <v>729028.75398586364</v>
      </c>
      <c r="AA22" s="59">
        <f t="shared" si="7"/>
        <v>729105.46717602271</v>
      </c>
      <c r="AB22" s="59">
        <f t="shared" si="7"/>
        <v>729182.18036618165</v>
      </c>
      <c r="AC22" s="59">
        <f t="shared" si="7"/>
        <v>729258.8935563406</v>
      </c>
      <c r="AD22" s="59">
        <f t="shared" si="7"/>
        <v>729258.8935563406</v>
      </c>
      <c r="AE22" s="59">
        <f t="shared" si="7"/>
        <v>729258.8935563406</v>
      </c>
      <c r="AF22" s="59">
        <f t="shared" si="7"/>
        <v>729258.8935563406</v>
      </c>
      <c r="AG22" s="59">
        <f t="shared" si="7"/>
        <v>729258.8935563406</v>
      </c>
      <c r="AH22" s="59">
        <f t="shared" si="7"/>
        <v>729258.8935563406</v>
      </c>
      <c r="AI22" s="59">
        <f>SUM(AI19:AI21)</f>
        <v>410208.12762544153</v>
      </c>
      <c r="AJ22" s="59"/>
      <c r="AK22" s="59"/>
      <c r="AL22" s="59"/>
      <c r="AM22" s="59"/>
      <c r="AN22" s="59"/>
      <c r="AO22" s="59"/>
    </row>
    <row r="25" spans="1:41" hidden="1" x14ac:dyDescent="0.25">
      <c r="E25" s="46">
        <f>E13/'Traffic_Reduced highway VMT'!C27</f>
        <v>7978602.2690963903</v>
      </c>
    </row>
    <row r="26" spans="1:41" hidden="1" x14ac:dyDescent="0.25">
      <c r="E26" s="32">
        <f>E25/12000</f>
        <v>664.88352242469921</v>
      </c>
    </row>
    <row r="27" spans="1:41" x14ac:dyDescent="0.25">
      <c r="E27" s="46"/>
    </row>
    <row r="29" spans="1:41" x14ac:dyDescent="0.25">
      <c r="E29" s="7"/>
    </row>
    <row r="30" spans="1:41" x14ac:dyDescent="0.25">
      <c r="E30" s="82"/>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974398-3F98-460A-8F57-62FC2F6E5AE7}">
  <sheetPr>
    <tabColor rgb="FF7030A0"/>
  </sheetPr>
  <dimension ref="A1"/>
  <sheetViews>
    <sheetView workbookViewId="0">
      <selection activeCell="H23" sqref="H23"/>
    </sheetView>
  </sheetViews>
  <sheetFormatPr defaultRowHeight="15" x14ac:dyDescent="0.25"/>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500E8-EEE1-40B3-90CD-6443906EE1C0}">
  <sheetPr>
    <tabColor rgb="FF7030A0"/>
  </sheetPr>
  <dimension ref="A1:R53"/>
  <sheetViews>
    <sheetView topLeftCell="G1" zoomScaleNormal="100" workbookViewId="0">
      <selection activeCell="O5" sqref="O5"/>
    </sheetView>
  </sheetViews>
  <sheetFormatPr defaultRowHeight="15" x14ac:dyDescent="0.25"/>
  <cols>
    <col min="1" max="1" width="14.42578125" customWidth="1"/>
    <col min="2" max="3" width="8.7109375" bestFit="1" customWidth="1"/>
    <col min="4" max="4" width="9.7109375" bestFit="1" customWidth="1"/>
    <col min="5" max="5" width="8.7109375" bestFit="1" customWidth="1"/>
    <col min="7" max="7" width="32.5703125" customWidth="1"/>
    <col min="8" max="8" width="19.28515625" customWidth="1"/>
    <col min="10" max="10" width="26.5703125" customWidth="1"/>
    <col min="11" max="11" width="22.5703125" customWidth="1"/>
    <col min="12" max="12" width="22" customWidth="1"/>
    <col min="14" max="15" width="16.5703125" customWidth="1"/>
    <col min="16" max="17" width="9" bestFit="1" customWidth="1"/>
  </cols>
  <sheetData>
    <row r="1" spans="1:15" x14ac:dyDescent="0.25">
      <c r="A1" s="49" t="s">
        <v>207</v>
      </c>
      <c r="H1" s="65" t="s">
        <v>208</v>
      </c>
    </row>
    <row r="2" spans="1:15" x14ac:dyDescent="0.25">
      <c r="A2" s="15" t="s">
        <v>209</v>
      </c>
      <c r="H2" s="65"/>
    </row>
    <row r="3" spans="1:15" x14ac:dyDescent="0.25">
      <c r="A3" t="s">
        <v>130</v>
      </c>
      <c r="G3" t="s">
        <v>210</v>
      </c>
      <c r="J3" t="s">
        <v>211</v>
      </c>
      <c r="N3" t="s">
        <v>212</v>
      </c>
    </row>
    <row r="4" spans="1:15" x14ac:dyDescent="0.25">
      <c r="A4" t="s">
        <v>213</v>
      </c>
      <c r="G4" s="65" t="s">
        <v>214</v>
      </c>
      <c r="J4" t="s">
        <v>215</v>
      </c>
      <c r="N4" s="65" t="s">
        <v>216</v>
      </c>
      <c r="O4" s="65"/>
    </row>
    <row r="5" spans="1:15" x14ac:dyDescent="0.25">
      <c r="A5" s="8" t="s">
        <v>145</v>
      </c>
      <c r="B5" s="8" t="s">
        <v>217</v>
      </c>
      <c r="C5" s="8" t="s">
        <v>218</v>
      </c>
      <c r="D5" s="8" t="s">
        <v>219</v>
      </c>
      <c r="E5" s="8" t="s">
        <v>93</v>
      </c>
      <c r="G5" s="1" t="s">
        <v>220</v>
      </c>
      <c r="H5" s="1" t="s">
        <v>221</v>
      </c>
      <c r="J5" t="s">
        <v>222</v>
      </c>
      <c r="N5" s="109" t="s">
        <v>223</v>
      </c>
      <c r="O5" s="109" t="s">
        <v>224</v>
      </c>
    </row>
    <row r="6" spans="1:15" x14ac:dyDescent="0.25">
      <c r="A6" s="1">
        <v>2022</v>
      </c>
      <c r="B6" s="14">
        <v>16600</v>
      </c>
      <c r="C6" s="14">
        <v>44300</v>
      </c>
      <c r="D6" s="14">
        <v>796700</v>
      </c>
      <c r="E6" s="14">
        <v>56</v>
      </c>
      <c r="G6" s="1" t="s">
        <v>225</v>
      </c>
      <c r="H6" s="14">
        <v>4000</v>
      </c>
      <c r="J6" s="10" t="s">
        <v>226</v>
      </c>
      <c r="K6" s="10" t="s">
        <v>227</v>
      </c>
      <c r="L6" s="12"/>
      <c r="N6" s="1">
        <v>2003</v>
      </c>
      <c r="O6" s="1">
        <v>1.44</v>
      </c>
    </row>
    <row r="7" spans="1:15" x14ac:dyDescent="0.25">
      <c r="A7" s="1">
        <v>2023</v>
      </c>
      <c r="B7" s="14">
        <v>16800</v>
      </c>
      <c r="C7" s="14">
        <v>45100</v>
      </c>
      <c r="D7" s="14">
        <v>810500</v>
      </c>
      <c r="E7" s="14">
        <v>57</v>
      </c>
      <c r="G7" s="1" t="s">
        <v>228</v>
      </c>
      <c r="H7" s="14">
        <v>78500</v>
      </c>
      <c r="J7" s="205" t="s">
        <v>229</v>
      </c>
      <c r="K7" s="205"/>
      <c r="L7" s="106"/>
      <c r="N7" s="1">
        <v>2004</v>
      </c>
      <c r="O7" s="1">
        <v>1.4</v>
      </c>
    </row>
    <row r="8" spans="1:15" x14ac:dyDescent="0.25">
      <c r="A8" s="1">
        <v>2024</v>
      </c>
      <c r="B8" s="14">
        <v>17000</v>
      </c>
      <c r="C8" s="14">
        <v>46000</v>
      </c>
      <c r="D8" s="14">
        <v>824500</v>
      </c>
      <c r="E8" s="14">
        <v>58</v>
      </c>
      <c r="G8" s="1" t="s">
        <v>230</v>
      </c>
      <c r="H8" s="14">
        <v>153700</v>
      </c>
      <c r="J8" s="109" t="s">
        <v>231</v>
      </c>
      <c r="K8" s="111">
        <v>31.9</v>
      </c>
      <c r="L8" s="107"/>
      <c r="N8" s="1">
        <v>2005</v>
      </c>
      <c r="O8" s="1">
        <v>1.36</v>
      </c>
    </row>
    <row r="9" spans="1:15" x14ac:dyDescent="0.25">
      <c r="A9" s="1">
        <v>2025</v>
      </c>
      <c r="B9" s="14">
        <v>17200</v>
      </c>
      <c r="C9" s="14">
        <v>46900</v>
      </c>
      <c r="D9" s="14">
        <v>838800</v>
      </c>
      <c r="E9" s="14">
        <v>59</v>
      </c>
      <c r="G9" s="1" t="s">
        <v>232</v>
      </c>
      <c r="H9" s="14">
        <v>564300</v>
      </c>
      <c r="J9" s="109" t="s">
        <v>233</v>
      </c>
      <c r="K9" s="111">
        <v>18.8</v>
      </c>
      <c r="L9" s="107"/>
      <c r="N9" s="1">
        <v>2006</v>
      </c>
      <c r="O9" s="1">
        <v>1.32</v>
      </c>
    </row>
    <row r="10" spans="1:15" x14ac:dyDescent="0.25">
      <c r="A10" s="1">
        <v>2026</v>
      </c>
      <c r="B10" s="14">
        <v>17500</v>
      </c>
      <c r="C10" s="14">
        <v>47800</v>
      </c>
      <c r="D10" s="14">
        <v>852100</v>
      </c>
      <c r="E10" s="14">
        <v>60</v>
      </c>
      <c r="G10" s="1" t="s">
        <v>234</v>
      </c>
      <c r="H10" s="14">
        <v>11800000</v>
      </c>
      <c r="J10" s="205" t="s">
        <v>235</v>
      </c>
      <c r="K10" s="205"/>
      <c r="L10" s="106"/>
      <c r="N10" s="1">
        <v>2007</v>
      </c>
      <c r="O10" s="1">
        <v>1.28</v>
      </c>
    </row>
    <row r="11" spans="1:15" x14ac:dyDescent="0.25">
      <c r="A11" s="1">
        <v>2027</v>
      </c>
      <c r="B11" s="14">
        <v>17900</v>
      </c>
      <c r="C11" s="14">
        <v>48700</v>
      </c>
      <c r="D11" s="14">
        <v>865600</v>
      </c>
      <c r="E11" s="14">
        <v>61</v>
      </c>
      <c r="G11" s="1" t="s">
        <v>236</v>
      </c>
      <c r="H11" s="14">
        <v>213900</v>
      </c>
      <c r="J11" s="109" t="s">
        <v>237</v>
      </c>
      <c r="K11" s="111">
        <v>32.4</v>
      </c>
      <c r="L11" s="107"/>
      <c r="N11" s="1">
        <v>2008</v>
      </c>
      <c r="O11" s="1">
        <v>1.26</v>
      </c>
    </row>
    <row r="12" spans="1:15" x14ac:dyDescent="0.25">
      <c r="A12" s="1">
        <v>2028</v>
      </c>
      <c r="B12" s="14">
        <v>18200</v>
      </c>
      <c r="C12" s="14">
        <v>49500</v>
      </c>
      <c r="D12" s="14">
        <v>879400</v>
      </c>
      <c r="E12" s="14">
        <v>62</v>
      </c>
      <c r="G12" s="1" t="s">
        <v>238</v>
      </c>
      <c r="H12" s="14">
        <v>162600</v>
      </c>
      <c r="J12" s="109" t="s">
        <v>239</v>
      </c>
      <c r="K12" s="111">
        <v>35</v>
      </c>
      <c r="L12" s="107"/>
      <c r="N12" s="1">
        <v>2009</v>
      </c>
      <c r="O12" s="1">
        <v>1.25</v>
      </c>
    </row>
    <row r="13" spans="1:15" x14ac:dyDescent="0.25">
      <c r="A13" s="1">
        <v>2029</v>
      </c>
      <c r="B13" s="14">
        <v>18600</v>
      </c>
      <c r="C13" s="14">
        <v>50400</v>
      </c>
      <c r="D13" s="14">
        <v>893400</v>
      </c>
      <c r="E13" s="14">
        <v>63</v>
      </c>
      <c r="J13" s="109" t="s">
        <v>240</v>
      </c>
      <c r="K13" s="111">
        <v>57.4</v>
      </c>
      <c r="L13" s="107"/>
      <c r="N13" s="1">
        <v>2010</v>
      </c>
      <c r="O13" s="1">
        <v>1.24</v>
      </c>
    </row>
    <row r="14" spans="1:15" x14ac:dyDescent="0.25">
      <c r="A14" s="1">
        <v>2030</v>
      </c>
      <c r="B14" s="14">
        <v>18900</v>
      </c>
      <c r="C14" s="14">
        <v>51300</v>
      </c>
      <c r="D14" s="14">
        <v>907600</v>
      </c>
      <c r="E14" s="14">
        <v>65</v>
      </c>
      <c r="G14" s="109" t="s">
        <v>241</v>
      </c>
      <c r="H14" s="109" t="s">
        <v>221</v>
      </c>
      <c r="J14" t="s">
        <v>242</v>
      </c>
      <c r="K14" s="105"/>
      <c r="L14" s="105"/>
      <c r="N14" s="1">
        <v>2011</v>
      </c>
      <c r="O14" s="1">
        <v>1.21</v>
      </c>
    </row>
    <row r="15" spans="1:15" ht="17.25" x14ac:dyDescent="0.25">
      <c r="A15" s="1">
        <v>2031</v>
      </c>
      <c r="B15" s="14">
        <v>18900</v>
      </c>
      <c r="C15" s="14">
        <v>51300</v>
      </c>
      <c r="D15" s="14">
        <v>907600</v>
      </c>
      <c r="E15" s="14">
        <v>66</v>
      </c>
      <c r="G15" s="109" t="s">
        <v>243</v>
      </c>
      <c r="H15" s="110">
        <v>307800</v>
      </c>
      <c r="J15" s="65" t="s">
        <v>244</v>
      </c>
      <c r="K15" s="65"/>
      <c r="L15" s="105"/>
      <c r="N15" s="1">
        <v>2012</v>
      </c>
      <c r="O15" s="1">
        <v>1.19</v>
      </c>
    </row>
    <row r="16" spans="1:15" ht="17.25" x14ac:dyDescent="0.25">
      <c r="A16" s="1">
        <v>2032</v>
      </c>
      <c r="B16" s="14">
        <v>18900</v>
      </c>
      <c r="C16" s="14">
        <v>51300</v>
      </c>
      <c r="D16" s="14">
        <v>907600</v>
      </c>
      <c r="E16" s="14">
        <v>67</v>
      </c>
      <c r="G16" s="109" t="s">
        <v>245</v>
      </c>
      <c r="H16" s="110">
        <v>13046800</v>
      </c>
      <c r="J16" s="109" t="s">
        <v>246</v>
      </c>
      <c r="K16" s="109" t="s">
        <v>247</v>
      </c>
      <c r="L16" s="105"/>
      <c r="N16" s="1">
        <v>2013</v>
      </c>
      <c r="O16" s="1">
        <v>1.17</v>
      </c>
    </row>
    <row r="17" spans="1:15" x14ac:dyDescent="0.25">
      <c r="A17" s="1">
        <v>2033</v>
      </c>
      <c r="B17" s="14">
        <v>18900</v>
      </c>
      <c r="C17" s="14">
        <v>51300</v>
      </c>
      <c r="D17" s="14">
        <v>907600</v>
      </c>
      <c r="E17" s="14">
        <v>68</v>
      </c>
      <c r="G17" t="s">
        <v>248</v>
      </c>
      <c r="J17" s="109" t="s">
        <v>249</v>
      </c>
      <c r="K17" s="109">
        <v>1.48</v>
      </c>
      <c r="L17" s="105"/>
      <c r="N17" s="1">
        <v>2014</v>
      </c>
      <c r="O17" s="1">
        <v>1.1499999999999999</v>
      </c>
    </row>
    <row r="18" spans="1:15" x14ac:dyDescent="0.25">
      <c r="A18" s="1">
        <v>2034</v>
      </c>
      <c r="B18" s="14">
        <v>18900</v>
      </c>
      <c r="C18" s="14">
        <v>51300</v>
      </c>
      <c r="D18" s="14">
        <v>907600</v>
      </c>
      <c r="E18" s="14">
        <v>69</v>
      </c>
      <c r="J18" s="109" t="s">
        <v>250</v>
      </c>
      <c r="K18" s="109">
        <v>1.58</v>
      </c>
      <c r="L18" s="105"/>
      <c r="N18" s="1">
        <v>2015</v>
      </c>
      <c r="O18" s="1">
        <v>1.1399999999999999</v>
      </c>
    </row>
    <row r="19" spans="1:15" x14ac:dyDescent="0.25">
      <c r="A19" s="1">
        <v>2035</v>
      </c>
      <c r="B19" s="14">
        <v>18900</v>
      </c>
      <c r="C19" s="14">
        <v>51300</v>
      </c>
      <c r="D19" s="14">
        <v>907600</v>
      </c>
      <c r="E19" s="14">
        <v>70</v>
      </c>
      <c r="G19" s="65" t="s">
        <v>251</v>
      </c>
      <c r="H19" s="65"/>
      <c r="J19" s="109" t="s">
        <v>252</v>
      </c>
      <c r="K19" s="109">
        <v>2.02</v>
      </c>
      <c r="L19" s="105"/>
      <c r="N19" s="1">
        <v>2016</v>
      </c>
      <c r="O19" s="1">
        <v>1.1200000000000001</v>
      </c>
    </row>
    <row r="20" spans="1:15" x14ac:dyDescent="0.25">
      <c r="A20" s="1">
        <v>2036</v>
      </c>
      <c r="B20" s="14">
        <v>18900</v>
      </c>
      <c r="C20" s="14">
        <v>51300</v>
      </c>
      <c r="D20" s="14">
        <v>907600</v>
      </c>
      <c r="E20" s="14">
        <v>72</v>
      </c>
      <c r="G20" s="65" t="s">
        <v>253</v>
      </c>
      <c r="H20" s="65"/>
      <c r="J20" s="109" t="s">
        <v>254</v>
      </c>
      <c r="K20" s="109">
        <v>1.67</v>
      </c>
      <c r="L20" s="105"/>
      <c r="N20" s="1">
        <v>2017</v>
      </c>
      <c r="O20" s="1">
        <v>1.1000000000000001</v>
      </c>
    </row>
    <row r="21" spans="1:15" x14ac:dyDescent="0.25">
      <c r="A21" s="1">
        <v>2037</v>
      </c>
      <c r="B21" s="14">
        <v>18900</v>
      </c>
      <c r="C21" s="14">
        <v>51300</v>
      </c>
      <c r="D21" s="14">
        <v>907600</v>
      </c>
      <c r="E21" s="14">
        <v>73</v>
      </c>
      <c r="G21" s="109" t="s">
        <v>255</v>
      </c>
      <c r="H21" s="110">
        <v>4800</v>
      </c>
      <c r="J21" s="65" t="s">
        <v>256</v>
      </c>
      <c r="K21" s="65"/>
      <c r="L21" s="105"/>
      <c r="N21" s="1">
        <v>2018</v>
      </c>
      <c r="O21" s="1">
        <v>1.08</v>
      </c>
    </row>
    <row r="22" spans="1:15" x14ac:dyDescent="0.25">
      <c r="A22" s="1">
        <v>2038</v>
      </c>
      <c r="B22" s="14">
        <v>18900</v>
      </c>
      <c r="C22" s="14">
        <v>51300</v>
      </c>
      <c r="D22" s="14">
        <v>907600</v>
      </c>
      <c r="E22" s="14">
        <v>74</v>
      </c>
      <c r="G22" s="65" t="s">
        <v>257</v>
      </c>
      <c r="H22" s="65"/>
      <c r="J22" s="105"/>
      <c r="K22" s="105"/>
      <c r="L22" s="105"/>
      <c r="N22" s="1">
        <v>2019</v>
      </c>
      <c r="O22" s="1">
        <v>1.06</v>
      </c>
    </row>
    <row r="23" spans="1:15" x14ac:dyDescent="0.25">
      <c r="A23" s="1">
        <v>2039</v>
      </c>
      <c r="B23" s="14">
        <v>18900</v>
      </c>
      <c r="C23" s="14">
        <v>51300</v>
      </c>
      <c r="D23" s="14">
        <v>907600</v>
      </c>
      <c r="E23" s="14">
        <v>75</v>
      </c>
      <c r="J23" s="65" t="s">
        <v>258</v>
      </c>
      <c r="K23" s="65"/>
      <c r="L23" s="105"/>
      <c r="N23" s="1">
        <v>2020</v>
      </c>
      <c r="O23" s="1">
        <v>1.04</v>
      </c>
    </row>
    <row r="24" spans="1:15" x14ac:dyDescent="0.25">
      <c r="A24" s="1">
        <v>2040</v>
      </c>
      <c r="B24" s="14">
        <v>18900</v>
      </c>
      <c r="C24" s="14">
        <v>51300</v>
      </c>
      <c r="D24" s="14">
        <v>907600</v>
      </c>
      <c r="E24" s="14">
        <v>76</v>
      </c>
      <c r="J24" s="109" t="s">
        <v>259</v>
      </c>
      <c r="K24" s="109" t="s">
        <v>260</v>
      </c>
      <c r="L24" s="105"/>
      <c r="N24" s="1">
        <v>2021</v>
      </c>
      <c r="O24" s="1">
        <v>1</v>
      </c>
    </row>
    <row r="25" spans="1:15" x14ac:dyDescent="0.25">
      <c r="A25" s="1">
        <v>2041</v>
      </c>
      <c r="B25" s="14">
        <v>18900</v>
      </c>
      <c r="C25" s="14">
        <v>51300</v>
      </c>
      <c r="D25" s="14">
        <v>907600</v>
      </c>
      <c r="E25" s="14">
        <v>78</v>
      </c>
      <c r="J25" s="109" t="s">
        <v>261</v>
      </c>
      <c r="K25" s="112">
        <v>0.46</v>
      </c>
      <c r="L25" s="108"/>
    </row>
    <row r="26" spans="1:15" x14ac:dyDescent="0.25">
      <c r="A26" s="1">
        <v>2042</v>
      </c>
      <c r="B26" s="14">
        <v>18900</v>
      </c>
      <c r="C26" s="14">
        <v>51300</v>
      </c>
      <c r="D26" s="14">
        <v>907600</v>
      </c>
      <c r="E26" s="14">
        <v>79</v>
      </c>
      <c r="J26" s="109" t="s">
        <v>262</v>
      </c>
      <c r="K26" s="112">
        <v>1.01</v>
      </c>
      <c r="L26" s="108"/>
    </row>
    <row r="27" spans="1:15" x14ac:dyDescent="0.25">
      <c r="A27" s="1">
        <v>2043</v>
      </c>
      <c r="B27" s="14">
        <v>18900</v>
      </c>
      <c r="C27" s="14">
        <v>51300</v>
      </c>
      <c r="D27" s="14">
        <v>907600</v>
      </c>
      <c r="E27" s="14">
        <v>80</v>
      </c>
      <c r="J27" t="s">
        <v>263</v>
      </c>
      <c r="K27" s="105"/>
      <c r="L27" s="105"/>
    </row>
    <row r="28" spans="1:15" x14ac:dyDescent="0.25">
      <c r="A28" s="1">
        <v>2044</v>
      </c>
      <c r="B28" s="14">
        <v>18900</v>
      </c>
      <c r="C28" s="14">
        <v>51300</v>
      </c>
      <c r="D28" s="14">
        <v>907600</v>
      </c>
      <c r="E28" s="14">
        <v>81</v>
      </c>
      <c r="J28" t="s">
        <v>264</v>
      </c>
      <c r="K28" s="105"/>
      <c r="L28" s="105"/>
    </row>
    <row r="29" spans="1:15" x14ac:dyDescent="0.25">
      <c r="A29" s="1">
        <v>2045</v>
      </c>
      <c r="B29" s="14">
        <v>18900</v>
      </c>
      <c r="C29" s="14">
        <v>51300</v>
      </c>
      <c r="D29" s="14">
        <v>907600</v>
      </c>
      <c r="E29" s="14">
        <v>82</v>
      </c>
      <c r="J29" s="105"/>
      <c r="K29" s="105"/>
      <c r="L29" s="105"/>
    </row>
    <row r="30" spans="1:15" x14ac:dyDescent="0.25">
      <c r="A30" s="1">
        <v>2046</v>
      </c>
      <c r="B30" s="14">
        <v>18900</v>
      </c>
      <c r="C30" s="14">
        <v>51300</v>
      </c>
      <c r="D30" s="14">
        <v>907600</v>
      </c>
      <c r="E30" s="14">
        <v>84</v>
      </c>
      <c r="J30" s="65" t="s">
        <v>265</v>
      </c>
      <c r="K30" s="105"/>
      <c r="L30" s="105"/>
    </row>
    <row r="31" spans="1:15" x14ac:dyDescent="0.25">
      <c r="A31" s="1">
        <v>2047</v>
      </c>
      <c r="B31" s="14">
        <v>18900</v>
      </c>
      <c r="C31" s="14">
        <v>51300</v>
      </c>
      <c r="D31" s="14">
        <v>907600</v>
      </c>
      <c r="E31" s="14">
        <v>85</v>
      </c>
      <c r="J31" s="109"/>
      <c r="K31" s="205" t="s">
        <v>266</v>
      </c>
      <c r="L31" s="205"/>
    </row>
    <row r="32" spans="1:15" x14ac:dyDescent="0.25">
      <c r="A32" s="1">
        <v>2048</v>
      </c>
      <c r="B32" s="14">
        <v>18900</v>
      </c>
      <c r="C32" s="14">
        <v>51300</v>
      </c>
      <c r="D32" s="14">
        <v>907600</v>
      </c>
      <c r="E32" s="14">
        <v>86</v>
      </c>
      <c r="J32" s="109" t="s">
        <v>267</v>
      </c>
      <c r="K32" s="109" t="s">
        <v>268</v>
      </c>
      <c r="L32" s="109" t="s">
        <v>269</v>
      </c>
    </row>
    <row r="33" spans="1:18" x14ac:dyDescent="0.25">
      <c r="A33" s="1">
        <v>2049</v>
      </c>
      <c r="B33" s="14">
        <v>18900</v>
      </c>
      <c r="C33" s="14">
        <v>51300</v>
      </c>
      <c r="D33" s="14">
        <v>907600</v>
      </c>
      <c r="E33" s="14">
        <v>87</v>
      </c>
      <c r="J33" s="109" t="s">
        <v>270</v>
      </c>
      <c r="K33" s="114">
        <v>0.13</v>
      </c>
      <c r="L33" s="114">
        <v>1.8E-3</v>
      </c>
    </row>
    <row r="34" spans="1:18" x14ac:dyDescent="0.25">
      <c r="A34" s="1">
        <v>2050</v>
      </c>
      <c r="B34" s="14">
        <v>18900</v>
      </c>
      <c r="C34" s="14">
        <v>51300</v>
      </c>
      <c r="D34" s="14">
        <v>907600</v>
      </c>
      <c r="E34" s="14">
        <v>88</v>
      </c>
      <c r="J34" s="109" t="s">
        <v>271</v>
      </c>
      <c r="K34" s="114">
        <v>2.8000000000000001E-2</v>
      </c>
      <c r="L34" s="114">
        <v>2.0000000000000001E-4</v>
      </c>
    </row>
    <row r="35" spans="1:18" x14ac:dyDescent="0.25">
      <c r="B35" s="9"/>
      <c r="C35" s="9"/>
      <c r="D35" s="9"/>
      <c r="E35" s="9"/>
      <c r="J35" s="109" t="s">
        <v>272</v>
      </c>
      <c r="K35" s="114">
        <v>0.109</v>
      </c>
      <c r="L35" s="114">
        <v>1E-3</v>
      </c>
    </row>
    <row r="36" spans="1:18" x14ac:dyDescent="0.25">
      <c r="J36" s="109" t="s">
        <v>273</v>
      </c>
      <c r="K36" s="114">
        <v>0.32400000000000001</v>
      </c>
      <c r="L36" s="114">
        <v>4.1099999999999998E-2</v>
      </c>
    </row>
    <row r="37" spans="1:18" x14ac:dyDescent="0.25">
      <c r="J37" s="109" t="s">
        <v>274</v>
      </c>
      <c r="K37" s="114">
        <v>7.0000000000000007E-2</v>
      </c>
      <c r="L37" s="114">
        <v>3.3999999999999998E-3</v>
      </c>
    </row>
    <row r="38" spans="1:18" x14ac:dyDescent="0.25">
      <c r="J38" s="109" t="s">
        <v>275</v>
      </c>
      <c r="K38" s="114">
        <v>0.222</v>
      </c>
      <c r="L38" s="114">
        <v>2.07E-2</v>
      </c>
    </row>
    <row r="39" spans="1:18" x14ac:dyDescent="0.25">
      <c r="J39" s="109" t="s">
        <v>276</v>
      </c>
      <c r="K39" s="114">
        <v>0.14399999999999999</v>
      </c>
      <c r="L39" s="114">
        <v>4.7999999999999996E-3</v>
      </c>
    </row>
    <row r="40" spans="1:18" x14ac:dyDescent="0.25">
      <c r="J40" s="109" t="s">
        <v>277</v>
      </c>
      <c r="K40" s="114">
        <v>3.4000000000000002E-2</v>
      </c>
      <c r="L40" s="114">
        <v>6.9999999999999999E-4</v>
      </c>
    </row>
    <row r="41" spans="1:18" x14ac:dyDescent="0.25">
      <c r="J41" s="109" t="s">
        <v>278</v>
      </c>
      <c r="K41" s="114">
        <v>0.12</v>
      </c>
      <c r="L41" s="114">
        <v>2.8999999999999998E-3</v>
      </c>
    </row>
    <row r="42" spans="1:18" x14ac:dyDescent="0.25">
      <c r="J42" t="s">
        <v>279</v>
      </c>
    </row>
    <row r="45" spans="1:18" x14ac:dyDescent="0.25">
      <c r="P45" s="113"/>
      <c r="Q45" s="113"/>
      <c r="R45" s="13"/>
    </row>
    <row r="46" spans="1:18" x14ac:dyDescent="0.25">
      <c r="P46" s="113"/>
      <c r="Q46" s="113"/>
      <c r="R46" s="13"/>
    </row>
    <row r="47" spans="1:18" x14ac:dyDescent="0.25">
      <c r="P47" s="113"/>
      <c r="Q47" s="113"/>
      <c r="R47" s="13"/>
    </row>
    <row r="48" spans="1:18" x14ac:dyDescent="0.25">
      <c r="P48" s="113"/>
      <c r="Q48" s="113"/>
      <c r="R48" s="13"/>
    </row>
    <row r="49" spans="16:18" x14ac:dyDescent="0.25">
      <c r="P49" s="113"/>
      <c r="Q49" s="113"/>
      <c r="R49" s="13"/>
    </row>
    <row r="50" spans="16:18" x14ac:dyDescent="0.25">
      <c r="P50" s="113"/>
      <c r="Q50" s="113"/>
      <c r="R50" s="13"/>
    </row>
    <row r="51" spans="16:18" x14ac:dyDescent="0.25">
      <c r="P51" s="113"/>
      <c r="Q51" s="113"/>
      <c r="R51" s="13"/>
    </row>
    <row r="52" spans="16:18" x14ac:dyDescent="0.25">
      <c r="P52" s="113"/>
      <c r="Q52" s="113"/>
      <c r="R52" s="13"/>
    </row>
    <row r="53" spans="16:18" x14ac:dyDescent="0.25">
      <c r="P53" s="113"/>
      <c r="Q53" s="113"/>
      <c r="R53" s="13"/>
    </row>
  </sheetData>
  <mergeCells count="3">
    <mergeCell ref="J7:K7"/>
    <mergeCell ref="J10:K10"/>
    <mergeCell ref="K31:L31"/>
  </mergeCells>
  <hyperlinks>
    <hyperlink ref="A2" r:id="rId1" xr:uid="{75F16C08-C99F-449B-90F0-2BE2BDDCAEAF}"/>
  </hyperlinks>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2E3938-0B27-4D3B-9A79-B7DA89F80B14}">
  <sheetPr>
    <tabColor rgb="FF7030A0"/>
  </sheetPr>
  <dimension ref="A1:A3"/>
  <sheetViews>
    <sheetView workbookViewId="0">
      <selection activeCell="J2" sqref="J2"/>
    </sheetView>
  </sheetViews>
  <sheetFormatPr defaultRowHeight="15" x14ac:dyDescent="0.25"/>
  <cols>
    <col min="1" max="1" width="107" style="6" customWidth="1"/>
    <col min="2" max="2" width="15.5703125" customWidth="1"/>
  </cols>
  <sheetData>
    <row r="1" spans="1:1" ht="82.35" customHeight="1" x14ac:dyDescent="0.25">
      <c r="A1" s="4" t="s">
        <v>280</v>
      </c>
    </row>
    <row r="2" spans="1:1" ht="82.35" customHeight="1" x14ac:dyDescent="0.25">
      <c r="A2" s="5" t="s">
        <v>281</v>
      </c>
    </row>
    <row r="3" spans="1:1" ht="82.35" customHeight="1" x14ac:dyDescent="0.25">
      <c r="A3" s="5" t="s">
        <v>282</v>
      </c>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d2112c61-a1e0-41a2-bac4-0f7971fc9b10" xsi:nil="true"/>
    <lcf76f155ced4ddcb4097134ff3c332f xmlns="53fd0e72-0694-496b-bc49-782d969134a9">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A06BE6D9D3487945BB0015217D68CD8F" ma:contentTypeVersion="15" ma:contentTypeDescription="Create a new document." ma:contentTypeScope="" ma:versionID="566073170e0a9c5a2fe988b014e79ef6">
  <xsd:schema xmlns:xsd="http://www.w3.org/2001/XMLSchema" xmlns:xs="http://www.w3.org/2001/XMLSchema" xmlns:p="http://schemas.microsoft.com/office/2006/metadata/properties" xmlns:ns2="53fd0e72-0694-496b-bc49-782d969134a9" xmlns:ns3="d2112c61-a1e0-41a2-bac4-0f7971fc9b10" targetNamespace="http://schemas.microsoft.com/office/2006/metadata/properties" ma:root="true" ma:fieldsID="b39eefc30dad6fb2e03716578bf5fd3e" ns2:_="" ns3:_="">
    <xsd:import namespace="53fd0e72-0694-496b-bc49-782d969134a9"/>
    <xsd:import namespace="d2112c61-a1e0-41a2-bac4-0f7971fc9b10"/>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3fd0e72-0694-496b-bc49-782d969134a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a478efe9-3e83-47ab-9518-2d754b32d76b"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2112c61-a1e0-41a2-bac4-0f7971fc9b10"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31da4094-7290-4f52-87c7-f9dcb7e24974}" ma:internalName="TaxCatchAll" ma:showField="CatchAllData" ma:web="d2112c61-a1e0-41a2-bac4-0f7971fc9b10">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383C191-A58B-40F3-9C3B-16579A52BCAB}">
  <ds:schemaRefs>
    <ds:schemaRef ds:uri="http://schemas.microsoft.com/sharepoint/v3/contenttype/forms"/>
  </ds:schemaRefs>
</ds:datastoreItem>
</file>

<file path=customXml/itemProps2.xml><?xml version="1.0" encoding="utf-8"?>
<ds:datastoreItem xmlns:ds="http://schemas.openxmlformats.org/officeDocument/2006/customXml" ds:itemID="{C2EDA56A-670F-4B66-B41D-E43D1D0A6451}">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53fd0e72-0694-496b-bc49-782d969134a9"/>
    <ds:schemaRef ds:uri="http://purl.org/dc/terms/"/>
    <ds:schemaRef ds:uri="http://schemas.openxmlformats.org/package/2006/metadata/core-properties"/>
    <ds:schemaRef ds:uri="d2112c61-a1e0-41a2-bac4-0f7971fc9b10"/>
    <ds:schemaRef ds:uri="http://www.w3.org/XML/1998/namespace"/>
    <ds:schemaRef ds:uri="http://purl.org/dc/dcmitype/"/>
  </ds:schemaRefs>
</ds:datastoreItem>
</file>

<file path=customXml/itemProps3.xml><?xml version="1.0" encoding="utf-8"?>
<ds:datastoreItem xmlns:ds="http://schemas.openxmlformats.org/officeDocument/2006/customXml" ds:itemID="{08C1AB73-0BA5-4852-BFB1-A2B43F811AA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3fd0e72-0694-496b-bc49-782d969134a9"/>
    <ds:schemaRef ds:uri="d2112c61-a1e0-41a2-bac4-0f7971fc9b1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vt:i4>
      </vt:variant>
    </vt:vector>
  </HeadingPairs>
  <TitlesOfParts>
    <vt:vector size="19" baseType="lpstr">
      <vt:lpstr>Cover &amp; Table of Contents</vt:lpstr>
      <vt:lpstr>Summary Tables</vt:lpstr>
      <vt:lpstr>30yr Horizon_noshipping</vt:lpstr>
      <vt:lpstr>Traffic_Reduced port VMT</vt:lpstr>
      <vt:lpstr>Traffic_Reduced highway VMT</vt:lpstr>
      <vt:lpstr>Air Quality</vt:lpstr>
      <vt:lpstr>References&gt;</vt:lpstr>
      <vt:lpstr>BCA Values</vt:lpstr>
      <vt:lpstr>Project Information</vt:lpstr>
      <vt:lpstr>Updated Project Costs</vt:lpstr>
      <vt:lpstr>Crash stats</vt:lpstr>
      <vt:lpstr>project benefits_PAMT_pubbridge</vt:lpstr>
      <vt:lpstr>Total reduced terminal VMT</vt:lpstr>
      <vt:lpstr>Emissions</vt:lpstr>
      <vt:lpstr>Archived&gt;</vt:lpstr>
      <vt:lpstr>30yr Horizon_shipping</vt:lpstr>
      <vt:lpstr>Raise22_capturevolumes</vt:lpstr>
      <vt:lpstr>Project Costs</vt:lpstr>
      <vt:lpstr>'Updated Project Costs'!_ftnref1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Dattels, Celia</dc:creator>
  <cp:keywords/>
  <dc:description/>
  <cp:lastModifiedBy>Amanda Prinski</cp:lastModifiedBy>
  <cp:revision/>
  <dcterms:created xsi:type="dcterms:W3CDTF">2022-03-22T18:18:13Z</dcterms:created>
  <dcterms:modified xsi:type="dcterms:W3CDTF">2023-02-27T19:01:10Z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0x010100A06BE6D9D3487945BB0015217D68CD8F</vt:lpwstr>
  </property>
  <property fmtid="{D5CDD505-2E9C-101B-9397-08002B2CF9AE}" pid="3" name="MediaServiceImageTags">
    <vt:lpwstr/>
  </property>
</Properties>
</file>